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he\Documents\"/>
    </mc:Choice>
  </mc:AlternateContent>
  <bookViews>
    <workbookView xWindow="0" yWindow="0" windowWidth="17256" windowHeight="5484"/>
  </bookViews>
  <sheets>
    <sheet name="Västerås" sheetId="1" r:id="rId1"/>
    <sheet name="Hallstahammar" sheetId="2" r:id="rId2"/>
    <sheet name="Kungsör" sheetId="3" r:id="rId3"/>
    <sheet name="Surahammar" sheetId="4" r:id="rId4"/>
  </sheets>
  <calcPr calcId="162913"/>
</workbook>
</file>

<file path=xl/calcChain.xml><?xml version="1.0" encoding="utf-8"?>
<calcChain xmlns="http://schemas.openxmlformats.org/spreadsheetml/2006/main">
  <c r="G33" i="4" l="1"/>
  <c r="F33" i="4"/>
  <c r="G32" i="4"/>
  <c r="F32" i="4"/>
  <c r="G31" i="4"/>
  <c r="F31" i="4"/>
  <c r="G30" i="4"/>
  <c r="F30" i="4"/>
  <c r="H33" i="4"/>
  <c r="H32" i="4"/>
  <c r="H31" i="4"/>
  <c r="H30" i="4"/>
  <c r="H25" i="4"/>
  <c r="H24" i="4"/>
  <c r="H23" i="4"/>
  <c r="H22" i="4"/>
  <c r="G25" i="4"/>
  <c r="G24" i="4"/>
  <c r="G23" i="4"/>
  <c r="G22" i="4"/>
  <c r="F25" i="4"/>
  <c r="F24" i="4"/>
  <c r="F23" i="4"/>
  <c r="F22" i="4"/>
  <c r="H42" i="2"/>
  <c r="G42" i="2"/>
  <c r="F42" i="2"/>
  <c r="D42" i="2"/>
  <c r="H41" i="2"/>
  <c r="G41" i="2"/>
  <c r="F41" i="2"/>
  <c r="D41" i="2"/>
  <c r="H40" i="2"/>
  <c r="G40" i="2"/>
  <c r="F40" i="2"/>
  <c r="D40" i="2"/>
  <c r="H39" i="2"/>
  <c r="G39" i="2"/>
  <c r="F39" i="2"/>
  <c r="D39" i="2"/>
  <c r="H33" i="2"/>
  <c r="G33" i="2"/>
  <c r="F33" i="2"/>
  <c r="D33" i="2"/>
  <c r="H32" i="2"/>
  <c r="G32" i="2"/>
  <c r="F32" i="2"/>
  <c r="D32" i="2"/>
  <c r="H31" i="2"/>
  <c r="G31" i="2"/>
  <c r="F31" i="2"/>
  <c r="D31" i="2"/>
  <c r="H30" i="2"/>
  <c r="G30" i="2"/>
  <c r="F30" i="2"/>
  <c r="D30" i="2"/>
  <c r="H25" i="2"/>
  <c r="G25" i="2"/>
  <c r="F25" i="2"/>
  <c r="D25" i="2"/>
  <c r="H24" i="2"/>
  <c r="G24" i="2"/>
  <c r="F24" i="2"/>
  <c r="D24" i="2"/>
  <c r="H23" i="2"/>
  <c r="G23" i="2"/>
  <c r="F23" i="2"/>
  <c r="D23" i="2"/>
  <c r="H22" i="2"/>
  <c r="G22" i="2"/>
  <c r="F22" i="2"/>
  <c r="D22" i="2"/>
  <c r="H17" i="2"/>
  <c r="E17" i="2"/>
  <c r="C17" i="2" s="1"/>
  <c r="H16" i="2"/>
  <c r="E16" i="2"/>
  <c r="C16" i="2" s="1"/>
  <c r="H15" i="2"/>
  <c r="E15" i="2"/>
  <c r="C15" i="2" s="1"/>
  <c r="H14" i="2"/>
  <c r="E14" i="2"/>
  <c r="C14" i="2"/>
  <c r="H42" i="1"/>
  <c r="H41" i="1"/>
  <c r="H40" i="1"/>
  <c r="H39" i="1"/>
  <c r="G42" i="1"/>
  <c r="G41" i="1"/>
  <c r="G40" i="1"/>
  <c r="G39" i="1"/>
  <c r="F42" i="1"/>
  <c r="F41" i="1"/>
  <c r="F40" i="1"/>
  <c r="F39" i="1"/>
  <c r="H33" i="1"/>
  <c r="H32" i="1"/>
  <c r="H31" i="1"/>
  <c r="H30" i="1"/>
  <c r="G33" i="1"/>
  <c r="G32" i="1"/>
  <c r="G31" i="1"/>
  <c r="G30" i="1"/>
  <c r="H25" i="1"/>
  <c r="H24" i="1"/>
  <c r="H23" i="1"/>
  <c r="H22" i="1"/>
  <c r="G25" i="1"/>
  <c r="G24" i="1"/>
  <c r="G23" i="1"/>
  <c r="G22" i="1"/>
  <c r="F33" i="1"/>
  <c r="F32" i="1"/>
  <c r="F31" i="1"/>
  <c r="F30" i="1"/>
  <c r="F25" i="1"/>
  <c r="F24" i="1"/>
  <c r="F23" i="1"/>
  <c r="F22" i="1"/>
  <c r="H14" i="4" l="1"/>
  <c r="F10" i="4"/>
  <c r="H33" i="3"/>
  <c r="G33" i="3"/>
  <c r="F33" i="3"/>
  <c r="H32" i="3"/>
  <c r="G32" i="3"/>
  <c r="F32" i="3"/>
  <c r="H31" i="3"/>
  <c r="G31" i="3"/>
  <c r="F31" i="3"/>
  <c r="H30" i="3"/>
  <c r="G30" i="3"/>
  <c r="F30" i="3"/>
  <c r="H25" i="3"/>
  <c r="H24" i="3"/>
  <c r="H23" i="3"/>
  <c r="H22" i="3"/>
  <c r="G25" i="3"/>
  <c r="G24" i="3"/>
  <c r="G23" i="3"/>
  <c r="G22" i="3"/>
  <c r="F25" i="3"/>
  <c r="F24" i="3"/>
  <c r="F23" i="3"/>
  <c r="F22" i="3"/>
  <c r="H17" i="3" l="1"/>
  <c r="E17" i="3"/>
  <c r="H16" i="3"/>
  <c r="E16" i="3"/>
  <c r="H15" i="3"/>
  <c r="E15" i="3"/>
  <c r="H14" i="3"/>
  <c r="E14" i="3"/>
  <c r="H14" i="1"/>
  <c r="E15" i="1"/>
  <c r="E16" i="1"/>
  <c r="E17" i="1"/>
  <c r="E14" i="1"/>
  <c r="H17" i="1" l="1"/>
  <c r="H16" i="1"/>
  <c r="H15" i="1"/>
  <c r="D33" i="3" l="1"/>
  <c r="D32" i="3"/>
  <c r="D31" i="3"/>
  <c r="D30" i="3"/>
  <c r="D33" i="4"/>
  <c r="D32" i="4"/>
  <c r="D31" i="4"/>
  <c r="D30" i="4"/>
  <c r="D25" i="4"/>
  <c r="D24" i="4"/>
  <c r="D23" i="4"/>
  <c r="D22" i="4"/>
  <c r="H17" i="4"/>
  <c r="E17" i="4"/>
  <c r="H16" i="4"/>
  <c r="E16" i="4"/>
  <c r="H15" i="4"/>
  <c r="E15" i="4"/>
  <c r="C14" i="4"/>
  <c r="E14" i="4"/>
  <c r="C15" i="4" l="1"/>
  <c r="C17" i="4"/>
  <c r="C16" i="4"/>
  <c r="D25" i="3" l="1"/>
  <c r="D24" i="3"/>
  <c r="D23" i="3"/>
  <c r="D22" i="3"/>
  <c r="C15" i="3"/>
  <c r="C14" i="3" l="1"/>
  <c r="C16" i="3"/>
  <c r="C17" i="3"/>
  <c r="D24" i="1" l="1"/>
  <c r="D25" i="1" l="1"/>
  <c r="D30" i="1" l="1"/>
  <c r="C14" i="1" l="1"/>
  <c r="D39" i="1" l="1"/>
  <c r="D22" i="1"/>
  <c r="C17" i="1"/>
  <c r="D42" i="1"/>
  <c r="D32" i="1"/>
  <c r="D41" i="1"/>
  <c r="D40" i="1"/>
  <c r="D33" i="1"/>
  <c r="D31" i="1"/>
  <c r="D23" i="1"/>
  <c r="C16" i="1"/>
  <c r="C15" i="1"/>
</calcChain>
</file>

<file path=xl/sharedStrings.xml><?xml version="1.0" encoding="utf-8"?>
<sst xmlns="http://schemas.openxmlformats.org/spreadsheetml/2006/main" count="190" uniqueCount="38">
  <si>
    <t>Kategori Småhus Västerås</t>
  </si>
  <si>
    <t>Ansl effekt</t>
  </si>
  <si>
    <t>Årlig fbr (MWh)</t>
  </si>
  <si>
    <t>Total årskostnad</t>
  </si>
  <si>
    <t>Varav fast del</t>
  </si>
  <si>
    <t>Varav rörlig del</t>
  </si>
  <si>
    <t>Kategori Flerbostadshus Västerås</t>
  </si>
  <si>
    <t>Fast avg</t>
  </si>
  <si>
    <t>Ansleffektavgift</t>
  </si>
  <si>
    <t>Kategori Lokaler Västerås</t>
  </si>
  <si>
    <t>Kategori Samfälligheter Västerås</t>
  </si>
  <si>
    <t>Kategori Småhus Kungsör</t>
  </si>
  <si>
    <t>Kategori Flerbostadshus Kungsör</t>
  </si>
  <si>
    <t>Kategori Lokaler Kungsör</t>
  </si>
  <si>
    <t>Här ser du prisexempel fjärrvärmekostnad för småhus, flerbostadshus, lokaler och samfälligheter. Alla summor är inkl.moms.</t>
  </si>
  <si>
    <t>Rörligt Pris</t>
  </si>
  <si>
    <t>Fast Småhus</t>
  </si>
  <si>
    <t>Kr/år</t>
  </si>
  <si>
    <t>Kr/MWh</t>
  </si>
  <si>
    <t>Vinter</t>
  </si>
  <si>
    <t>Vår/Höst</t>
  </si>
  <si>
    <t>Sommar</t>
  </si>
  <si>
    <t>Fördelningsnyckel</t>
  </si>
  <si>
    <t>Småhus</t>
  </si>
  <si>
    <t>Flerbostadshus</t>
  </si>
  <si>
    <t>Offentliga Lokaler</t>
  </si>
  <si>
    <t>Samfällighet</t>
  </si>
  <si>
    <t>Kategori Flerbostadshus Surahammar</t>
  </si>
  <si>
    <t>Kategori Lokaler Surahammar</t>
  </si>
  <si>
    <t>Kategori Småhus Surahammar</t>
  </si>
  <si>
    <t>MAX Effekt</t>
  </si>
  <si>
    <t>BAS Effekt</t>
  </si>
  <si>
    <t>BAS</t>
  </si>
  <si>
    <t>Spets</t>
  </si>
  <si>
    <t>Prisexempel 2022- Västerås</t>
  </si>
  <si>
    <t>Prisexempel 2022- Hallstahammar</t>
  </si>
  <si>
    <t>Prisexempel 2022- Kungsör</t>
  </si>
  <si>
    <t>Prisexempel 2022- Surahammar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</si>
</sst>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6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1" fontId="0" fillId="0" borderId="0" xfId="0" applyNumberForma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0" fillId="0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topLeftCell="A19" workbookViewId="0">
      <selection sqref="A1:H1"/>
    </sheetView>
  </sheetViews>
  <sheetFormatPr defaultRowHeight="14.4" x14ac:dyDescent="0.3"/>
  <cols>
    <col min="1" max="2" width="11.109375" style="1" customWidth="1"/>
    <col min="3" max="3" width="8.6640625" style="1" customWidth="1"/>
    <col min="4" max="4" width="16.6640625" style="1" customWidth="1"/>
    <col min="5" max="5" width="1.6640625" style="1" customWidth="1"/>
    <col min="6" max="6" width="8.6640625" style="1" customWidth="1"/>
    <col min="7" max="7" width="16.6640625" style="1" customWidth="1"/>
    <col min="8" max="8" width="13.6640625" style="1" customWidth="1"/>
    <col min="9" max="11" width="9.5546875" customWidth="1"/>
    <col min="12" max="13" width="9.5546875" style="2" hidden="1" customWidth="1"/>
    <col min="14" max="15" width="9.5546875" hidden="1" customWidth="1"/>
    <col min="16" max="17" width="9.5546875" customWidth="1"/>
  </cols>
  <sheetData>
    <row r="1" spans="1:22" ht="30" customHeight="1" x14ac:dyDescent="0.3">
      <c r="A1" s="76" t="s">
        <v>34</v>
      </c>
      <c r="B1" s="76"/>
      <c r="C1" s="76"/>
      <c r="D1" s="76"/>
      <c r="E1" s="76"/>
      <c r="F1" s="76"/>
      <c r="G1" s="76"/>
      <c r="H1" s="76"/>
    </row>
    <row r="2" spans="1:22" ht="8.1" customHeight="1" x14ac:dyDescent="0.3">
      <c r="A2" s="6"/>
      <c r="B2" s="27"/>
      <c r="C2" s="6"/>
      <c r="D2" s="6"/>
      <c r="E2" s="8"/>
      <c r="F2" s="6"/>
      <c r="G2" s="6"/>
      <c r="H2" s="6"/>
    </row>
    <row r="3" spans="1:22" ht="30" customHeight="1" x14ac:dyDescent="0.3">
      <c r="A3" s="77" t="s">
        <v>14</v>
      </c>
      <c r="B3" s="77"/>
      <c r="C3" s="78"/>
      <c r="D3" s="78"/>
      <c r="E3" s="78"/>
      <c r="F3" s="78"/>
      <c r="G3" s="78"/>
      <c r="H3" s="78"/>
    </row>
    <row r="4" spans="1:22" ht="8.1" customHeight="1" x14ac:dyDescent="0.3">
      <c r="A4" s="9"/>
      <c r="B4" s="28"/>
      <c r="C4" s="10"/>
      <c r="D4" s="10"/>
      <c r="E4" s="10"/>
      <c r="F4" s="10"/>
      <c r="G4" s="10"/>
      <c r="H4" s="10"/>
    </row>
    <row r="5" spans="1:22" ht="20.100000000000001" customHeight="1" x14ac:dyDescent="0.3">
      <c r="A5" s="53" t="s">
        <v>0</v>
      </c>
      <c r="B5" s="54"/>
      <c r="C5" s="55"/>
      <c r="D5" s="55"/>
      <c r="E5" s="55"/>
      <c r="F5" s="55"/>
      <c r="G5" s="55"/>
      <c r="H5" s="56"/>
    </row>
    <row r="6" spans="1:22" ht="8.1" customHeight="1" x14ac:dyDescent="0.3">
      <c r="A6" s="11"/>
      <c r="B6" s="28"/>
      <c r="C6" s="12"/>
      <c r="D6" s="12"/>
      <c r="E6" s="12"/>
      <c r="F6" s="12"/>
      <c r="G6" s="12"/>
      <c r="H6" s="12"/>
    </row>
    <row r="7" spans="1:22" ht="15" customHeight="1" x14ac:dyDescent="0.3">
      <c r="A7" s="14"/>
      <c r="B7" s="28"/>
      <c r="C7" s="15"/>
      <c r="D7" s="20" t="s">
        <v>19</v>
      </c>
      <c r="E7" s="79" t="s">
        <v>20</v>
      </c>
      <c r="F7" s="80"/>
      <c r="G7" s="20" t="s">
        <v>21</v>
      </c>
    </row>
    <row r="8" spans="1:22" ht="15" customHeight="1" x14ac:dyDescent="0.3">
      <c r="A8" s="17" t="s">
        <v>15</v>
      </c>
      <c r="B8" s="37"/>
      <c r="C8" s="18"/>
      <c r="D8" s="25">
        <v>700</v>
      </c>
      <c r="E8" s="79">
        <v>650</v>
      </c>
      <c r="F8" s="80">
        <v>460</v>
      </c>
      <c r="G8" s="25">
        <v>190</v>
      </c>
      <c r="H8" s="19" t="s">
        <v>18</v>
      </c>
    </row>
    <row r="9" spans="1:22" ht="8.1" customHeight="1" x14ac:dyDescent="0.3">
      <c r="A9" s="9"/>
      <c r="B9" s="28"/>
      <c r="C9" s="10"/>
      <c r="D9" s="10"/>
      <c r="E9" s="10"/>
      <c r="F9" s="10"/>
      <c r="G9" s="10"/>
      <c r="H9" s="10"/>
    </row>
    <row r="10" spans="1:22" ht="15" customHeight="1" x14ac:dyDescent="0.3">
      <c r="A10" s="72" t="s">
        <v>16</v>
      </c>
      <c r="B10" s="73"/>
      <c r="C10" s="74"/>
      <c r="D10" s="74"/>
      <c r="E10" s="75"/>
      <c r="F10" s="66">
        <v>5280</v>
      </c>
      <c r="G10" s="67"/>
      <c r="H10" s="19" t="s">
        <v>17</v>
      </c>
    </row>
    <row r="11" spans="1:22" ht="8.1" customHeight="1" x14ac:dyDescent="0.3">
      <c r="A11" s="9"/>
      <c r="B11" s="28"/>
      <c r="C11" s="10"/>
      <c r="D11" s="10"/>
      <c r="E11" s="10"/>
      <c r="F11" s="10"/>
      <c r="G11" s="10"/>
      <c r="H11" s="10"/>
    </row>
    <row r="12" spans="1:22" ht="15" customHeight="1" x14ac:dyDescent="0.3">
      <c r="A12" s="57" t="s">
        <v>2</v>
      </c>
      <c r="B12" s="32"/>
      <c r="C12" s="58" t="s">
        <v>3</v>
      </c>
      <c r="D12" s="59"/>
      <c r="E12" s="57" t="s">
        <v>4</v>
      </c>
      <c r="F12" s="57"/>
      <c r="G12" s="64"/>
      <c r="H12" s="57" t="s">
        <v>5</v>
      </c>
      <c r="L12"/>
      <c r="M12" s="49" t="s">
        <v>22</v>
      </c>
      <c r="N12" s="49"/>
      <c r="O12" s="50"/>
    </row>
    <row r="13" spans="1:22" ht="15" customHeight="1" x14ac:dyDescent="0.3">
      <c r="A13" s="57"/>
      <c r="B13" s="33"/>
      <c r="C13" s="60"/>
      <c r="D13" s="61"/>
      <c r="E13" s="57"/>
      <c r="F13" s="57"/>
      <c r="G13" s="64"/>
      <c r="H13" s="57"/>
      <c r="L13"/>
      <c r="M13" s="21" t="s">
        <v>19</v>
      </c>
      <c r="N13" s="21" t="s">
        <v>20</v>
      </c>
      <c r="O13" s="21" t="s">
        <v>21</v>
      </c>
    </row>
    <row r="14" spans="1:22" ht="15" customHeight="1" x14ac:dyDescent="0.3">
      <c r="A14" s="3">
        <v>15</v>
      </c>
      <c r="B14" s="38"/>
      <c r="C14" s="62">
        <f>E14+H14</f>
        <v>14952.326999999999</v>
      </c>
      <c r="D14" s="56"/>
      <c r="E14" s="63">
        <f>$F$10</f>
        <v>5280</v>
      </c>
      <c r="F14" s="63"/>
      <c r="G14" s="64"/>
      <c r="H14" s="5">
        <f>A14*$M$14*$D$8+A14*$N$14*$E$8+A14*$O$14*$G$8</f>
        <v>9672.3269999999993</v>
      </c>
      <c r="J14" s="48"/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  <c r="R14" s="24"/>
      <c r="V14" s="35"/>
    </row>
    <row r="15" spans="1:22" ht="15" customHeight="1" x14ac:dyDescent="0.3">
      <c r="A15" s="3">
        <v>20</v>
      </c>
      <c r="B15" s="38"/>
      <c r="C15" s="62">
        <f>E15+H15</f>
        <v>18176.435999999998</v>
      </c>
      <c r="D15" s="56"/>
      <c r="E15" s="63">
        <f t="shared" ref="E15:E17" si="0">$F$10</f>
        <v>5280</v>
      </c>
      <c r="F15" s="63"/>
      <c r="G15" s="64"/>
      <c r="H15" s="13">
        <f>A15*$M$14*$D$8+A15*$N$14*$E$8+A15*$O$14*$G$8</f>
        <v>12896.435999999998</v>
      </c>
      <c r="J15" s="48"/>
      <c r="K15" s="24"/>
      <c r="R15" s="24"/>
      <c r="V15" s="35"/>
    </row>
    <row r="16" spans="1:22" ht="15" customHeight="1" x14ac:dyDescent="0.3">
      <c r="A16" s="3">
        <v>30</v>
      </c>
      <c r="B16" s="38"/>
      <c r="C16" s="62">
        <f>E16+H16</f>
        <v>24624.653999999999</v>
      </c>
      <c r="D16" s="56"/>
      <c r="E16" s="63">
        <f t="shared" si="0"/>
        <v>5280</v>
      </c>
      <c r="F16" s="63"/>
      <c r="G16" s="64"/>
      <c r="H16" s="13">
        <f>A16*$M$14*$D$8+A16*$N$14*$E$8+A16*$O$14*$G$8</f>
        <v>19344.653999999999</v>
      </c>
      <c r="J16" s="48"/>
      <c r="K16" s="24"/>
      <c r="R16" s="24"/>
      <c r="V16" s="35"/>
    </row>
    <row r="17" spans="1:22" ht="15" customHeight="1" x14ac:dyDescent="0.3">
      <c r="A17" s="3">
        <v>40</v>
      </c>
      <c r="B17" s="38"/>
      <c r="C17" s="62">
        <f>E17+H17</f>
        <v>31072.871999999996</v>
      </c>
      <c r="D17" s="56"/>
      <c r="E17" s="63">
        <f t="shared" si="0"/>
        <v>5280</v>
      </c>
      <c r="F17" s="63"/>
      <c r="G17" s="64"/>
      <c r="H17" s="13">
        <f>A17*$M$14*$D$8+A17*$N$14*$E$8+A17*$O$14*$G$8</f>
        <v>25792.871999999996</v>
      </c>
      <c r="J17" s="48"/>
      <c r="K17" s="24"/>
      <c r="R17" s="24"/>
      <c r="V17" s="35"/>
    </row>
    <row r="18" spans="1:22" ht="8.1" customHeight="1" x14ac:dyDescent="0.3"/>
    <row r="19" spans="1:22" ht="20.100000000000001" customHeight="1" x14ac:dyDescent="0.3">
      <c r="A19" s="53" t="s">
        <v>6</v>
      </c>
      <c r="B19" s="54"/>
      <c r="C19" s="55"/>
      <c r="D19" s="55"/>
      <c r="E19" s="55"/>
      <c r="F19" s="55"/>
      <c r="G19" s="56"/>
      <c r="H19" s="7">
        <v>1900</v>
      </c>
      <c r="M19" s="2" t="s">
        <v>32</v>
      </c>
      <c r="N19" t="s">
        <v>33</v>
      </c>
      <c r="O19" t="s">
        <v>21</v>
      </c>
    </row>
    <row r="20" spans="1:22" ht="15" customHeight="1" x14ac:dyDescent="0.3">
      <c r="A20" s="51" t="s">
        <v>30</v>
      </c>
      <c r="B20" s="51" t="s">
        <v>31</v>
      </c>
      <c r="C20" s="51" t="s">
        <v>2</v>
      </c>
      <c r="D20" s="68" t="s">
        <v>3</v>
      </c>
      <c r="E20" s="69"/>
      <c r="F20" s="52" t="s">
        <v>4</v>
      </c>
      <c r="G20" s="52"/>
      <c r="H20" s="51" t="s">
        <v>5</v>
      </c>
      <c r="L20" s="22" t="s">
        <v>24</v>
      </c>
      <c r="M20" s="23">
        <v>0.88500000000000001</v>
      </c>
      <c r="N20" s="23">
        <v>3.6999999999999998E-2</v>
      </c>
      <c r="O20" s="23">
        <v>7.8E-2</v>
      </c>
      <c r="R20" s="24"/>
    </row>
    <row r="21" spans="1:22" ht="15" customHeight="1" x14ac:dyDescent="0.3">
      <c r="A21" s="51"/>
      <c r="B21" s="51"/>
      <c r="C21" s="51"/>
      <c r="D21" s="70"/>
      <c r="E21" s="71"/>
      <c r="F21" s="16" t="s">
        <v>7</v>
      </c>
      <c r="G21" s="16" t="s">
        <v>8</v>
      </c>
      <c r="H21" s="51"/>
      <c r="L21" s="22" t="s">
        <v>25</v>
      </c>
      <c r="M21" s="23">
        <v>0.88500000000000001</v>
      </c>
      <c r="N21" s="23">
        <v>3.6999999999999998E-2</v>
      </c>
      <c r="O21" s="23">
        <v>7.8E-2</v>
      </c>
      <c r="R21" s="24"/>
    </row>
    <row r="22" spans="1:22" ht="15" customHeight="1" x14ac:dyDescent="0.3">
      <c r="A22" s="4">
        <v>25</v>
      </c>
      <c r="B22" s="4">
        <v>15</v>
      </c>
      <c r="C22" s="3">
        <v>80</v>
      </c>
      <c r="D22" s="62">
        <f>SUM(F22:H22)</f>
        <v>69852</v>
      </c>
      <c r="E22" s="65"/>
      <c r="F22" s="5">
        <f>216*1.25</f>
        <v>270</v>
      </c>
      <c r="G22" s="13">
        <f>(A22*500+B22*892)*1.25</f>
        <v>32350</v>
      </c>
      <c r="H22" s="13">
        <f>(C22*$M$20*364+C22*$N$20*1040+C22*$O$20*150)*1.25</f>
        <v>37232</v>
      </c>
      <c r="J22" s="39"/>
      <c r="L22" s="22" t="s">
        <v>26</v>
      </c>
      <c r="M22" s="23">
        <v>0.88500000000000001</v>
      </c>
      <c r="N22" s="23">
        <v>3.6999999999999998E-2</v>
      </c>
      <c r="O22" s="23">
        <v>7.8E-2</v>
      </c>
      <c r="R22" s="24"/>
      <c r="V22" s="35"/>
    </row>
    <row r="23" spans="1:22" ht="15" customHeight="1" x14ac:dyDescent="0.3">
      <c r="A23" s="4">
        <v>59</v>
      </c>
      <c r="B23" s="4">
        <v>38</v>
      </c>
      <c r="C23" s="3">
        <v>193</v>
      </c>
      <c r="D23" s="62">
        <f t="shared" ref="D23" si="1">SUM(F23:H23)</f>
        <v>167750.95000000001</v>
      </c>
      <c r="E23" s="65"/>
      <c r="F23" s="5">
        <f>1569*1.25</f>
        <v>1961.25</v>
      </c>
      <c r="G23" s="34">
        <f>(A23*500+B23*823)*1.25</f>
        <v>75967.5</v>
      </c>
      <c r="H23" s="34">
        <f>(C23*$M$20*364+C23*$N$20*1040+C23*$O$20*150)*1.25</f>
        <v>89822.200000000012</v>
      </c>
      <c r="J23" s="39"/>
      <c r="R23" s="24"/>
      <c r="V23" s="35"/>
    </row>
    <row r="24" spans="1:22" ht="15" customHeight="1" x14ac:dyDescent="0.3">
      <c r="A24" s="4">
        <v>152</v>
      </c>
      <c r="B24" s="4">
        <v>100</v>
      </c>
      <c r="C24" s="3">
        <v>500</v>
      </c>
      <c r="D24" s="62">
        <f>SUM(F24:H24)</f>
        <v>430347.5</v>
      </c>
      <c r="E24" s="65"/>
      <c r="F24" s="5">
        <f>8818*1.25</f>
        <v>11022.5</v>
      </c>
      <c r="G24" s="34">
        <f>(A24*500+B24*733)*1.25</f>
        <v>186625</v>
      </c>
      <c r="H24" s="34">
        <f>(C24*$M$20*364+C24*$N$20*1040+C24*$O$20*150)*1.25</f>
        <v>232700</v>
      </c>
      <c r="J24" s="39"/>
      <c r="K24" s="39"/>
      <c r="R24" s="24"/>
      <c r="V24" s="35"/>
    </row>
    <row r="25" spans="1:22" ht="15" customHeight="1" x14ac:dyDescent="0.3">
      <c r="A25" s="4">
        <v>305</v>
      </c>
      <c r="B25" s="4">
        <v>203</v>
      </c>
      <c r="C25" s="3">
        <v>1000</v>
      </c>
      <c r="D25" s="62">
        <f>SUM(F25:H25)</f>
        <v>846370</v>
      </c>
      <c r="E25" s="65"/>
      <c r="F25" s="5">
        <f>24183*1.25</f>
        <v>30228.75</v>
      </c>
      <c r="G25" s="34">
        <f>(A25*500+B25*631)*1.25</f>
        <v>350741.25</v>
      </c>
      <c r="H25" s="34">
        <f>(C25*$M$20*364+C25*$N$20*1040+C25*$O$20*150)*1.25</f>
        <v>465400</v>
      </c>
      <c r="J25" s="39"/>
      <c r="K25" s="24"/>
      <c r="R25" s="24"/>
      <c r="V25" s="35"/>
    </row>
    <row r="26" spans="1:22" ht="8.1" customHeight="1" x14ac:dyDescent="0.3"/>
    <row r="27" spans="1:22" ht="20.100000000000001" customHeight="1" x14ac:dyDescent="0.3">
      <c r="A27" s="53" t="s">
        <v>9</v>
      </c>
      <c r="B27" s="54"/>
      <c r="C27" s="55"/>
      <c r="D27" s="55"/>
      <c r="E27" s="55"/>
      <c r="F27" s="55"/>
      <c r="G27" s="56"/>
      <c r="H27" s="7">
        <v>1700</v>
      </c>
      <c r="L27"/>
      <c r="M27"/>
    </row>
    <row r="28" spans="1:22" ht="15" customHeight="1" x14ac:dyDescent="0.3">
      <c r="A28" s="51" t="s">
        <v>1</v>
      </c>
      <c r="B28" s="51" t="s">
        <v>31</v>
      </c>
      <c r="C28" s="51" t="s">
        <v>2</v>
      </c>
      <c r="D28" s="68" t="s">
        <v>3</v>
      </c>
      <c r="E28" s="69"/>
      <c r="F28" s="52" t="s">
        <v>4</v>
      </c>
      <c r="G28" s="52"/>
      <c r="H28" s="51" t="s">
        <v>5</v>
      </c>
      <c r="L28"/>
      <c r="M28"/>
    </row>
    <row r="29" spans="1:22" ht="15" customHeight="1" x14ac:dyDescent="0.3">
      <c r="A29" s="51"/>
      <c r="B29" s="51"/>
      <c r="C29" s="51"/>
      <c r="D29" s="70"/>
      <c r="E29" s="71"/>
      <c r="F29" s="16" t="s">
        <v>7</v>
      </c>
      <c r="G29" s="16" t="s">
        <v>8</v>
      </c>
      <c r="H29" s="51"/>
      <c r="L29"/>
      <c r="M29"/>
    </row>
    <row r="30" spans="1:22" ht="15" customHeight="1" x14ac:dyDescent="0.3">
      <c r="A30" s="4">
        <v>25</v>
      </c>
      <c r="B30" s="4">
        <v>15</v>
      </c>
      <c r="C30" s="3">
        <v>80</v>
      </c>
      <c r="D30" s="62">
        <f>SUM(F30:H30)</f>
        <v>69852</v>
      </c>
      <c r="E30" s="65"/>
      <c r="F30" s="34">
        <f>216*1.25</f>
        <v>270</v>
      </c>
      <c r="G30" s="34">
        <f>(A30*500+B30*892)*1.25</f>
        <v>32350</v>
      </c>
      <c r="H30" s="34">
        <f>(C30*$M$20*364+C30*$N$20*1040+C30*$O$20*150)*1.25</f>
        <v>37232</v>
      </c>
      <c r="J30" s="39"/>
      <c r="K30" s="24"/>
      <c r="L30"/>
      <c r="M30"/>
      <c r="R30" s="24"/>
      <c r="V30" s="35"/>
    </row>
    <row r="31" spans="1:22" ht="15" customHeight="1" x14ac:dyDescent="0.3">
      <c r="A31" s="4">
        <v>59</v>
      </c>
      <c r="B31" s="4">
        <v>38</v>
      </c>
      <c r="C31" s="3">
        <v>193</v>
      </c>
      <c r="D31" s="62">
        <f t="shared" ref="D31" si="2">SUM(F31:H31)</f>
        <v>167750.95000000001</v>
      </c>
      <c r="E31" s="65"/>
      <c r="F31" s="34">
        <f>1569*1.25</f>
        <v>1961.25</v>
      </c>
      <c r="G31" s="34">
        <f>(A31*500+B31*823)*1.25</f>
        <v>75967.5</v>
      </c>
      <c r="H31" s="34">
        <f>(C31*$M$20*364+C31*$N$20*1040+C31*$O$20*150)*1.25</f>
        <v>89822.200000000012</v>
      </c>
      <c r="J31" s="39"/>
      <c r="K31" s="24"/>
      <c r="L31"/>
      <c r="M31"/>
      <c r="R31" s="24"/>
      <c r="V31" s="35"/>
    </row>
    <row r="32" spans="1:22" ht="15" customHeight="1" x14ac:dyDescent="0.3">
      <c r="A32" s="4">
        <v>152</v>
      </c>
      <c r="B32" s="4">
        <v>100</v>
      </c>
      <c r="C32" s="3">
        <v>500</v>
      </c>
      <c r="D32" s="62">
        <f>SUM(F32:H32)</f>
        <v>430347.5</v>
      </c>
      <c r="E32" s="65"/>
      <c r="F32" s="34">
        <f>8818*1.25</f>
        <v>11022.5</v>
      </c>
      <c r="G32" s="34">
        <f>(A32*500+B32*733)*1.25</f>
        <v>186625</v>
      </c>
      <c r="H32" s="34">
        <f>(C32*$M$20*364+C32*$N$20*1040+C32*$O$20*150)*1.25</f>
        <v>232700</v>
      </c>
      <c r="J32" s="39"/>
      <c r="K32" s="24"/>
      <c r="L32"/>
      <c r="M32"/>
      <c r="R32" s="24"/>
      <c r="V32" s="35"/>
    </row>
    <row r="33" spans="1:22" ht="15" customHeight="1" x14ac:dyDescent="0.3">
      <c r="A33" s="4">
        <v>305</v>
      </c>
      <c r="B33" s="4">
        <v>203</v>
      </c>
      <c r="C33" s="3">
        <v>1000</v>
      </c>
      <c r="D33" s="62">
        <f t="shared" ref="D33" si="3">SUM(F33:H33)</f>
        <v>846370</v>
      </c>
      <c r="E33" s="65"/>
      <c r="F33" s="34">
        <f>24183*1.25</f>
        <v>30228.75</v>
      </c>
      <c r="G33" s="34">
        <f>(A33*500+B33*631)*1.25</f>
        <v>350741.25</v>
      </c>
      <c r="H33" s="34">
        <f>(C33*$M$20*364+C33*$N$20*1040+C33*$O$20*150)*1.25</f>
        <v>465400</v>
      </c>
      <c r="J33" s="39"/>
      <c r="K33" s="24"/>
      <c r="L33"/>
      <c r="M33"/>
      <c r="R33" s="24"/>
      <c r="V33" s="35"/>
    </row>
    <row r="34" spans="1:22" ht="8.1" customHeight="1" x14ac:dyDescent="0.3">
      <c r="L34"/>
      <c r="M34"/>
    </row>
    <row r="35" spans="1:22" ht="20.100000000000001" customHeight="1" x14ac:dyDescent="0.3">
      <c r="A35" s="53" t="s">
        <v>10</v>
      </c>
      <c r="B35" s="54"/>
      <c r="C35" s="55"/>
      <c r="D35" s="55"/>
      <c r="E35" s="55"/>
      <c r="F35" s="55"/>
      <c r="G35" s="56"/>
      <c r="H35" s="7">
        <v>2100</v>
      </c>
    </row>
    <row r="36" spans="1:22" ht="8.1" customHeight="1" x14ac:dyDescent="0.3">
      <c r="A36" s="14"/>
      <c r="B36" s="28"/>
      <c r="C36" s="15"/>
      <c r="D36" s="15"/>
      <c r="E36" s="15"/>
      <c r="F36" s="15"/>
      <c r="G36" s="15"/>
      <c r="H36" s="15"/>
    </row>
    <row r="37" spans="1:22" ht="15" customHeight="1" x14ac:dyDescent="0.3">
      <c r="A37" s="51" t="s">
        <v>1</v>
      </c>
      <c r="B37" s="51" t="s">
        <v>31</v>
      </c>
      <c r="C37" s="51" t="s">
        <v>2</v>
      </c>
      <c r="D37" s="68" t="s">
        <v>3</v>
      </c>
      <c r="E37" s="69"/>
      <c r="F37" s="52" t="s">
        <v>4</v>
      </c>
      <c r="G37" s="52"/>
      <c r="H37" s="51" t="s">
        <v>5</v>
      </c>
    </row>
    <row r="38" spans="1:22" ht="15" customHeight="1" x14ac:dyDescent="0.3">
      <c r="A38" s="51"/>
      <c r="B38" s="51"/>
      <c r="C38" s="51"/>
      <c r="D38" s="70"/>
      <c r="E38" s="71"/>
      <c r="F38" s="16" t="s">
        <v>7</v>
      </c>
      <c r="G38" s="16" t="s">
        <v>8</v>
      </c>
      <c r="H38" s="51"/>
    </row>
    <row r="39" spans="1:22" ht="15" customHeight="1" x14ac:dyDescent="0.3">
      <c r="A39" s="4">
        <v>25</v>
      </c>
      <c r="B39" s="4">
        <v>16</v>
      </c>
      <c r="C39" s="3">
        <v>80</v>
      </c>
      <c r="D39" s="62">
        <f>SUM(F39:H39)</f>
        <v>64298.25</v>
      </c>
      <c r="E39" s="65"/>
      <c r="F39" s="34">
        <f>181*1.25</f>
        <v>226.25</v>
      </c>
      <c r="G39" s="34">
        <f>(A39*400+B39*717)*1.25</f>
        <v>26840</v>
      </c>
      <c r="H39" s="34">
        <f>(C39*$M$20*364+C39*$N$20*1040+C39*$O$20*150)*1.25</f>
        <v>37232</v>
      </c>
      <c r="J39" s="39"/>
      <c r="L39"/>
      <c r="M39"/>
      <c r="R39" s="24"/>
      <c r="V39" s="35"/>
    </row>
    <row r="40" spans="1:22" ht="15" customHeight="1" x14ac:dyDescent="0.3">
      <c r="A40" s="4">
        <v>59</v>
      </c>
      <c r="B40" s="4">
        <v>39</v>
      </c>
      <c r="C40" s="3">
        <v>193</v>
      </c>
      <c r="D40" s="62">
        <f t="shared" ref="D40" si="4">SUM(F40:H40)</f>
        <v>153799.70000000001</v>
      </c>
      <c r="E40" s="65"/>
      <c r="F40" s="34">
        <f>1335*1.25</f>
        <v>1668.75</v>
      </c>
      <c r="G40" s="34">
        <f>(A40*400+B40*673)*1.25</f>
        <v>62308.75</v>
      </c>
      <c r="H40" s="34">
        <f>(C40*$M$20*364+C40*$N$20*1040+C40*$O$20*150)*1.25</f>
        <v>89822.200000000012</v>
      </c>
      <c r="J40" s="39"/>
      <c r="K40" s="24"/>
      <c r="R40" s="24"/>
      <c r="V40" s="35"/>
    </row>
    <row r="41" spans="1:22" ht="15" customHeight="1" x14ac:dyDescent="0.3">
      <c r="A41" s="4">
        <v>152</v>
      </c>
      <c r="B41" s="4">
        <v>103</v>
      </c>
      <c r="C41" s="3">
        <v>500</v>
      </c>
      <c r="D41" s="62">
        <f>SUM(F41:H41)</f>
        <v>394603.75</v>
      </c>
      <c r="E41" s="65"/>
      <c r="F41" s="34">
        <f>7335*1.25</f>
        <v>9168.75</v>
      </c>
      <c r="G41" s="34">
        <f>(A41*400+B41*596)*1.25</f>
        <v>152735</v>
      </c>
      <c r="H41" s="34">
        <f>(C41*$M$20*364+C41*$N$20*1040+C41*$O$20*150)*1.25</f>
        <v>232700</v>
      </c>
      <c r="J41" s="39"/>
      <c r="K41" s="24"/>
      <c r="R41" s="24"/>
      <c r="V41" s="35"/>
    </row>
    <row r="42" spans="1:22" ht="15" customHeight="1" x14ac:dyDescent="0.3">
      <c r="A42" s="4">
        <v>305</v>
      </c>
      <c r="B42" s="4">
        <v>212</v>
      </c>
      <c r="C42" s="3">
        <v>1000</v>
      </c>
      <c r="D42" s="62">
        <f t="shared" ref="D42" si="5">SUM(F42:H42)</f>
        <v>778938.75</v>
      </c>
      <c r="E42" s="65"/>
      <c r="F42" s="34">
        <f>20075*1.25</f>
        <v>25093.75</v>
      </c>
      <c r="G42" s="34">
        <f>(A42*400+B42*513)*1.25</f>
        <v>288445</v>
      </c>
      <c r="H42" s="34">
        <f>(C42*$M$20*364+C42*$N$20*1040+C42*$O$20*150)*1.25</f>
        <v>465400</v>
      </c>
      <c r="J42" s="39"/>
      <c r="K42" s="24"/>
      <c r="L42"/>
      <c r="M42"/>
      <c r="R42" s="24"/>
      <c r="V42" s="35"/>
    </row>
  </sheetData>
  <mergeCells count="53">
    <mergeCell ref="D22:E22"/>
    <mergeCell ref="D23:E23"/>
    <mergeCell ref="F20:G20"/>
    <mergeCell ref="A35:G35"/>
    <mergeCell ref="B28:B29"/>
    <mergeCell ref="A37:A38"/>
    <mergeCell ref="C37:C38"/>
    <mergeCell ref="F37:G37"/>
    <mergeCell ref="H37:H38"/>
    <mergeCell ref="B37:B38"/>
    <mergeCell ref="A1:H1"/>
    <mergeCell ref="A3:H3"/>
    <mergeCell ref="H12:H13"/>
    <mergeCell ref="C14:D14"/>
    <mergeCell ref="C15:D15"/>
    <mergeCell ref="A5:H5"/>
    <mergeCell ref="E12:G13"/>
    <mergeCell ref="E14:G14"/>
    <mergeCell ref="E15:G15"/>
    <mergeCell ref="E7:F7"/>
    <mergeCell ref="E8:F8"/>
    <mergeCell ref="D42:E42"/>
    <mergeCell ref="F10:G10"/>
    <mergeCell ref="D32:E32"/>
    <mergeCell ref="D33:E33"/>
    <mergeCell ref="D37:E38"/>
    <mergeCell ref="D39:E39"/>
    <mergeCell ref="D40:E40"/>
    <mergeCell ref="D24:E24"/>
    <mergeCell ref="D25:E25"/>
    <mergeCell ref="D28:E29"/>
    <mergeCell ref="D30:E30"/>
    <mergeCell ref="D31:E31"/>
    <mergeCell ref="A10:E10"/>
    <mergeCell ref="A19:G19"/>
    <mergeCell ref="A20:A21"/>
    <mergeCell ref="D41:E41"/>
    <mergeCell ref="M12:O12"/>
    <mergeCell ref="H28:H29"/>
    <mergeCell ref="C20:C21"/>
    <mergeCell ref="A28:A29"/>
    <mergeCell ref="C28:C29"/>
    <mergeCell ref="F28:G28"/>
    <mergeCell ref="A27:G27"/>
    <mergeCell ref="A12:A13"/>
    <mergeCell ref="C12:D13"/>
    <mergeCell ref="C17:D17"/>
    <mergeCell ref="E16:G16"/>
    <mergeCell ref="C16:D16"/>
    <mergeCell ref="E17:G17"/>
    <mergeCell ref="H20:H21"/>
    <mergeCell ref="D20:E21"/>
    <mergeCell ref="B20:B21"/>
  </mergeCells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sqref="A1:H1"/>
    </sheetView>
  </sheetViews>
  <sheetFormatPr defaultRowHeight="14.4" x14ac:dyDescent="0.3"/>
  <cols>
    <col min="1" max="2" width="11.109375" style="1" customWidth="1"/>
    <col min="3" max="3" width="8.6640625" style="1" customWidth="1"/>
    <col min="4" max="4" width="16.6640625" style="1" customWidth="1"/>
    <col min="5" max="5" width="1.6640625" style="1" customWidth="1"/>
    <col min="6" max="6" width="8.6640625" style="1" customWidth="1"/>
    <col min="7" max="7" width="16.6640625" style="1" customWidth="1"/>
    <col min="8" max="8" width="13.6640625" style="1" customWidth="1"/>
    <col min="9" max="11" width="9.5546875" customWidth="1"/>
    <col min="12" max="13" width="9.5546875" style="2" hidden="1" customWidth="1"/>
    <col min="14" max="15" width="9.5546875" hidden="1" customWidth="1"/>
    <col min="16" max="17" width="9.5546875" customWidth="1"/>
  </cols>
  <sheetData>
    <row r="1" spans="1:22" ht="30" customHeight="1" x14ac:dyDescent="0.3">
      <c r="A1" s="76" t="s">
        <v>35</v>
      </c>
      <c r="B1" s="76"/>
      <c r="C1" s="76"/>
      <c r="D1" s="76"/>
      <c r="E1" s="76"/>
      <c r="F1" s="76"/>
      <c r="G1" s="76"/>
      <c r="H1" s="76"/>
    </row>
    <row r="2" spans="1:22" ht="8.1" customHeight="1" x14ac:dyDescent="0.3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">
      <c r="A3" s="77" t="s">
        <v>14</v>
      </c>
      <c r="B3" s="77"/>
      <c r="C3" s="78"/>
      <c r="D3" s="78"/>
      <c r="E3" s="78"/>
      <c r="F3" s="78"/>
      <c r="G3" s="78"/>
      <c r="H3" s="78"/>
    </row>
    <row r="4" spans="1:22" ht="8.1" customHeight="1" x14ac:dyDescent="0.3">
      <c r="A4" s="40"/>
      <c r="B4" s="40"/>
      <c r="C4" s="41"/>
      <c r="D4" s="41"/>
      <c r="E4" s="41"/>
      <c r="F4" s="41"/>
      <c r="G4" s="41"/>
      <c r="H4" s="41"/>
    </row>
    <row r="5" spans="1:22" ht="20.100000000000001" customHeight="1" x14ac:dyDescent="0.3">
      <c r="A5" s="53" t="s">
        <v>0</v>
      </c>
      <c r="B5" s="54"/>
      <c r="C5" s="55"/>
      <c r="D5" s="55"/>
      <c r="E5" s="55"/>
      <c r="F5" s="55"/>
      <c r="G5" s="55"/>
      <c r="H5" s="56"/>
    </row>
    <row r="6" spans="1:22" ht="8.1" customHeight="1" x14ac:dyDescent="0.3">
      <c r="A6" s="40"/>
      <c r="B6" s="40"/>
      <c r="C6" s="41"/>
      <c r="D6" s="41"/>
      <c r="E6" s="41"/>
      <c r="F6" s="41"/>
      <c r="G6" s="41"/>
      <c r="H6" s="41"/>
    </row>
    <row r="7" spans="1:22" ht="15" customHeight="1" x14ac:dyDescent="0.3">
      <c r="A7" s="40"/>
      <c r="B7" s="40"/>
      <c r="C7" s="41"/>
      <c r="D7" s="42" t="s">
        <v>19</v>
      </c>
      <c r="E7" s="79" t="s">
        <v>20</v>
      </c>
      <c r="F7" s="80"/>
      <c r="G7" s="42" t="s">
        <v>21</v>
      </c>
    </row>
    <row r="8" spans="1:22" ht="15" customHeight="1" x14ac:dyDescent="0.3">
      <c r="A8" s="43" t="s">
        <v>15</v>
      </c>
      <c r="B8" s="44"/>
      <c r="C8" s="45"/>
      <c r="D8" s="42">
        <v>700</v>
      </c>
      <c r="E8" s="79">
        <v>650</v>
      </c>
      <c r="F8" s="80">
        <v>460</v>
      </c>
      <c r="G8" s="42">
        <v>190</v>
      </c>
      <c r="H8" s="19" t="s">
        <v>18</v>
      </c>
    </row>
    <row r="9" spans="1:22" ht="8.1" customHeight="1" x14ac:dyDescent="0.3">
      <c r="A9" s="40"/>
      <c r="B9" s="40"/>
      <c r="C9" s="41"/>
      <c r="D9" s="41"/>
      <c r="E9" s="41"/>
      <c r="F9" s="41"/>
      <c r="G9" s="41"/>
      <c r="H9" s="41"/>
    </row>
    <row r="10" spans="1:22" ht="15" customHeight="1" x14ac:dyDescent="0.3">
      <c r="A10" s="72" t="s">
        <v>16</v>
      </c>
      <c r="B10" s="73"/>
      <c r="C10" s="74"/>
      <c r="D10" s="74"/>
      <c r="E10" s="75"/>
      <c r="F10" s="66">
        <v>5280</v>
      </c>
      <c r="G10" s="67"/>
      <c r="H10" s="19" t="s">
        <v>17</v>
      </c>
    </row>
    <row r="11" spans="1:22" ht="8.1" customHeight="1" x14ac:dyDescent="0.3">
      <c r="A11" s="40"/>
      <c r="B11" s="40"/>
      <c r="C11" s="41"/>
      <c r="D11" s="41"/>
      <c r="E11" s="41"/>
      <c r="F11" s="41"/>
      <c r="G11" s="41"/>
      <c r="H11" s="41"/>
    </row>
    <row r="12" spans="1:22" ht="15" customHeight="1" x14ac:dyDescent="0.3">
      <c r="A12" s="57" t="s">
        <v>2</v>
      </c>
      <c r="B12" s="46"/>
      <c r="C12" s="58" t="s">
        <v>3</v>
      </c>
      <c r="D12" s="59"/>
      <c r="E12" s="57" t="s">
        <v>4</v>
      </c>
      <c r="F12" s="57"/>
      <c r="G12" s="64"/>
      <c r="H12" s="57" t="s">
        <v>5</v>
      </c>
      <c r="L12"/>
      <c r="M12" s="49" t="s">
        <v>22</v>
      </c>
      <c r="N12" s="49"/>
      <c r="O12" s="50"/>
    </row>
    <row r="13" spans="1:22" ht="15" customHeight="1" x14ac:dyDescent="0.3">
      <c r="A13" s="57"/>
      <c r="B13" s="47"/>
      <c r="C13" s="60"/>
      <c r="D13" s="61"/>
      <c r="E13" s="57"/>
      <c r="F13" s="57"/>
      <c r="G13" s="64"/>
      <c r="H13" s="57"/>
      <c r="L13"/>
      <c r="M13" s="36" t="s">
        <v>19</v>
      </c>
      <c r="N13" s="36" t="s">
        <v>20</v>
      </c>
      <c r="O13" s="36" t="s">
        <v>21</v>
      </c>
    </row>
    <row r="14" spans="1:22" ht="15" customHeight="1" x14ac:dyDescent="0.3">
      <c r="A14" s="3">
        <v>15</v>
      </c>
      <c r="B14" s="38"/>
      <c r="C14" s="62">
        <f>E14+H14</f>
        <v>14952.326999999999</v>
      </c>
      <c r="D14" s="56"/>
      <c r="E14" s="63">
        <f>$F$10</f>
        <v>5280</v>
      </c>
      <c r="F14" s="63"/>
      <c r="G14" s="64"/>
      <c r="H14" s="34">
        <f>A14*$M$14*$D$8+A14*$N$14*$E$8+A14*$O$14*$G$8</f>
        <v>9672.3269999999993</v>
      </c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  <c r="R14" s="24"/>
      <c r="V14" s="35"/>
    </row>
    <row r="15" spans="1:22" ht="15" customHeight="1" x14ac:dyDescent="0.3">
      <c r="A15" s="3">
        <v>20</v>
      </c>
      <c r="B15" s="38"/>
      <c r="C15" s="62">
        <f>E15+H15</f>
        <v>18176.435999999998</v>
      </c>
      <c r="D15" s="56"/>
      <c r="E15" s="63">
        <f t="shared" ref="E15:E17" si="0">$F$10</f>
        <v>5280</v>
      </c>
      <c r="F15" s="63"/>
      <c r="G15" s="64"/>
      <c r="H15" s="34">
        <f>A15*$M$14*$D$8+A15*$N$14*$E$8+A15*$O$14*$G$8</f>
        <v>12896.435999999998</v>
      </c>
      <c r="K15" s="24"/>
      <c r="R15" s="24"/>
      <c r="V15" s="35"/>
    </row>
    <row r="16" spans="1:22" ht="15" customHeight="1" x14ac:dyDescent="0.3">
      <c r="A16" s="3">
        <v>30</v>
      </c>
      <c r="B16" s="38"/>
      <c r="C16" s="62">
        <f>E16+H16</f>
        <v>24624.653999999999</v>
      </c>
      <c r="D16" s="56"/>
      <c r="E16" s="63">
        <f t="shared" si="0"/>
        <v>5280</v>
      </c>
      <c r="F16" s="63"/>
      <c r="G16" s="64"/>
      <c r="H16" s="34">
        <f>A16*$M$14*$D$8+A16*$N$14*$E$8+A16*$O$14*$G$8</f>
        <v>19344.653999999999</v>
      </c>
      <c r="K16" s="24"/>
      <c r="R16" s="24"/>
      <c r="V16" s="35"/>
    </row>
    <row r="17" spans="1:22" ht="15" customHeight="1" x14ac:dyDescent="0.3">
      <c r="A17" s="3">
        <v>40</v>
      </c>
      <c r="B17" s="38"/>
      <c r="C17" s="62">
        <f>E17+H17</f>
        <v>31072.871999999996</v>
      </c>
      <c r="D17" s="56"/>
      <c r="E17" s="63">
        <f t="shared" si="0"/>
        <v>5280</v>
      </c>
      <c r="F17" s="63"/>
      <c r="G17" s="64"/>
      <c r="H17" s="34">
        <f>A17*$M$14*$D$8+A17*$N$14*$E$8+A17*$O$14*$G$8</f>
        <v>25792.871999999996</v>
      </c>
      <c r="K17" s="24"/>
      <c r="R17" s="24"/>
      <c r="V17" s="35"/>
    </row>
    <row r="18" spans="1:22" ht="8.1" customHeight="1" x14ac:dyDescent="0.3"/>
    <row r="19" spans="1:22" ht="20.100000000000001" customHeight="1" x14ac:dyDescent="0.3">
      <c r="A19" s="53" t="s">
        <v>6</v>
      </c>
      <c r="B19" s="54"/>
      <c r="C19" s="55"/>
      <c r="D19" s="55"/>
      <c r="E19" s="55"/>
      <c r="F19" s="55"/>
      <c r="G19" s="56"/>
      <c r="H19" s="7">
        <v>1900</v>
      </c>
      <c r="M19" s="2" t="s">
        <v>32</v>
      </c>
      <c r="N19" t="s">
        <v>33</v>
      </c>
      <c r="O19" t="s">
        <v>21</v>
      </c>
    </row>
    <row r="20" spans="1:22" ht="15" customHeight="1" x14ac:dyDescent="0.3">
      <c r="A20" s="51" t="s">
        <v>30</v>
      </c>
      <c r="B20" s="51" t="s">
        <v>31</v>
      </c>
      <c r="C20" s="51" t="s">
        <v>2</v>
      </c>
      <c r="D20" s="68" t="s">
        <v>3</v>
      </c>
      <c r="E20" s="69"/>
      <c r="F20" s="52" t="s">
        <v>4</v>
      </c>
      <c r="G20" s="52"/>
      <c r="H20" s="51" t="s">
        <v>5</v>
      </c>
      <c r="L20" s="22" t="s">
        <v>24</v>
      </c>
      <c r="M20" s="23">
        <v>0.88500000000000001</v>
      </c>
      <c r="N20" s="23">
        <v>3.6999999999999998E-2</v>
      </c>
      <c r="O20" s="23">
        <v>7.8E-2</v>
      </c>
    </row>
    <row r="21" spans="1:22" ht="15" customHeight="1" x14ac:dyDescent="0.3">
      <c r="A21" s="51"/>
      <c r="B21" s="51"/>
      <c r="C21" s="51"/>
      <c r="D21" s="70"/>
      <c r="E21" s="71"/>
      <c r="F21" s="16" t="s">
        <v>7</v>
      </c>
      <c r="G21" s="16" t="s">
        <v>8</v>
      </c>
      <c r="H21" s="51"/>
      <c r="L21" s="22" t="s">
        <v>25</v>
      </c>
      <c r="M21" s="23">
        <v>0.88500000000000001</v>
      </c>
      <c r="N21" s="23">
        <v>3.6999999999999998E-2</v>
      </c>
      <c r="O21" s="23">
        <v>7.8E-2</v>
      </c>
    </row>
    <row r="22" spans="1:22" ht="15" customHeight="1" x14ac:dyDescent="0.3">
      <c r="A22" s="4">
        <v>25</v>
      </c>
      <c r="B22" s="4">
        <v>15</v>
      </c>
      <c r="C22" s="3">
        <v>80</v>
      </c>
      <c r="D22" s="62">
        <f>SUM(F22:H22)</f>
        <v>69852</v>
      </c>
      <c r="E22" s="65"/>
      <c r="F22" s="34">
        <f>216*1.25</f>
        <v>270</v>
      </c>
      <c r="G22" s="34">
        <f>(A22*500+B22*892)*1.25</f>
        <v>32350</v>
      </c>
      <c r="H22" s="34">
        <f>(C22*$M$20*364+C22*$N$20*1040+C22*$O$20*150)*1.25</f>
        <v>37232</v>
      </c>
      <c r="J22" s="24"/>
      <c r="L22" s="22" t="s">
        <v>26</v>
      </c>
      <c r="M22" s="23">
        <v>0.88500000000000001</v>
      </c>
      <c r="N22" s="23">
        <v>3.6999999999999998E-2</v>
      </c>
      <c r="O22" s="23">
        <v>7.8E-2</v>
      </c>
      <c r="R22" s="24"/>
      <c r="V22" s="35"/>
    </row>
    <row r="23" spans="1:22" ht="15" customHeight="1" x14ac:dyDescent="0.3">
      <c r="A23" s="4">
        <v>59</v>
      </c>
      <c r="B23" s="4">
        <v>38</v>
      </c>
      <c r="C23" s="3">
        <v>193</v>
      </c>
      <c r="D23" s="62">
        <f t="shared" ref="D23" si="1">SUM(F23:H23)</f>
        <v>167750.95000000001</v>
      </c>
      <c r="E23" s="65"/>
      <c r="F23" s="34">
        <f>1569*1.25</f>
        <v>1961.25</v>
      </c>
      <c r="G23" s="34">
        <f>(A23*500+B23*823)*1.25</f>
        <v>75967.5</v>
      </c>
      <c r="H23" s="34">
        <f>(C23*$M$20*364+C23*$N$20*1040+C23*$O$20*150)*1.25</f>
        <v>89822.200000000012</v>
      </c>
      <c r="J23" s="24"/>
      <c r="R23" s="24"/>
      <c r="V23" s="35"/>
    </row>
    <row r="24" spans="1:22" ht="15" customHeight="1" x14ac:dyDescent="0.3">
      <c r="A24" s="4">
        <v>152</v>
      </c>
      <c r="B24" s="4">
        <v>100</v>
      </c>
      <c r="C24" s="3">
        <v>500</v>
      </c>
      <c r="D24" s="62">
        <f>SUM(F24:H24)</f>
        <v>430347.5</v>
      </c>
      <c r="E24" s="65"/>
      <c r="F24" s="34">
        <f>8818*1.25</f>
        <v>11022.5</v>
      </c>
      <c r="G24" s="34">
        <f>(A24*500+B24*733)*1.25</f>
        <v>186625</v>
      </c>
      <c r="H24" s="34">
        <f>(C24*$M$20*364+C24*$N$20*1040+C24*$O$20*150)*1.25</f>
        <v>232700</v>
      </c>
      <c r="J24" s="24"/>
      <c r="K24" s="39"/>
      <c r="R24" s="24"/>
      <c r="V24" s="35"/>
    </row>
    <row r="25" spans="1:22" ht="15" customHeight="1" x14ac:dyDescent="0.3">
      <c r="A25" s="4">
        <v>305</v>
      </c>
      <c r="B25" s="4">
        <v>203</v>
      </c>
      <c r="C25" s="3">
        <v>1000</v>
      </c>
      <c r="D25" s="62">
        <f>SUM(F25:H25)</f>
        <v>846370</v>
      </c>
      <c r="E25" s="65"/>
      <c r="F25" s="34">
        <f>24183*1.25</f>
        <v>30228.75</v>
      </c>
      <c r="G25" s="34">
        <f>(A25*500+B25*631)*1.25</f>
        <v>350741.25</v>
      </c>
      <c r="H25" s="34">
        <f>(C25*$M$20*364+C25*$N$20*1040+C25*$O$20*150)*1.25</f>
        <v>465400</v>
      </c>
      <c r="J25" s="24"/>
      <c r="K25" s="24"/>
      <c r="R25" s="24"/>
      <c r="V25" s="35"/>
    </row>
    <row r="26" spans="1:22" ht="8.1" customHeight="1" x14ac:dyDescent="0.3"/>
    <row r="27" spans="1:22" ht="20.100000000000001" customHeight="1" x14ac:dyDescent="0.3">
      <c r="A27" s="53" t="s">
        <v>9</v>
      </c>
      <c r="B27" s="54"/>
      <c r="C27" s="55"/>
      <c r="D27" s="55"/>
      <c r="E27" s="55"/>
      <c r="F27" s="55"/>
      <c r="G27" s="56"/>
      <c r="H27" s="7">
        <v>1700</v>
      </c>
      <c r="L27"/>
      <c r="M27"/>
    </row>
    <row r="28" spans="1:22" ht="15" customHeight="1" x14ac:dyDescent="0.3">
      <c r="A28" s="51" t="s">
        <v>1</v>
      </c>
      <c r="B28" s="51" t="s">
        <v>31</v>
      </c>
      <c r="C28" s="51" t="s">
        <v>2</v>
      </c>
      <c r="D28" s="68" t="s">
        <v>3</v>
      </c>
      <c r="E28" s="69"/>
      <c r="F28" s="52" t="s">
        <v>4</v>
      </c>
      <c r="G28" s="52"/>
      <c r="H28" s="51" t="s">
        <v>5</v>
      </c>
      <c r="L28"/>
      <c r="M28"/>
    </row>
    <row r="29" spans="1:22" ht="15" customHeight="1" x14ac:dyDescent="0.3">
      <c r="A29" s="51"/>
      <c r="B29" s="51"/>
      <c r="C29" s="51"/>
      <c r="D29" s="70"/>
      <c r="E29" s="71"/>
      <c r="F29" s="16" t="s">
        <v>7</v>
      </c>
      <c r="G29" s="16" t="s">
        <v>8</v>
      </c>
      <c r="H29" s="51"/>
      <c r="L29"/>
      <c r="M29"/>
    </row>
    <row r="30" spans="1:22" ht="15" customHeight="1" x14ac:dyDescent="0.3">
      <c r="A30" s="4">
        <v>25</v>
      </c>
      <c r="B30" s="4">
        <v>15</v>
      </c>
      <c r="C30" s="3">
        <v>80</v>
      </c>
      <c r="D30" s="62">
        <f>SUM(F30:H30)</f>
        <v>69852</v>
      </c>
      <c r="E30" s="65"/>
      <c r="F30" s="34">
        <f>216*1.25</f>
        <v>270</v>
      </c>
      <c r="G30" s="34">
        <f>(A30*500+B30*892)*1.25</f>
        <v>32350</v>
      </c>
      <c r="H30" s="34">
        <f>(C30*$M$20*364+C30*$N$20*1040+C30*$O$20*150)*1.25</f>
        <v>37232</v>
      </c>
      <c r="J30" s="24"/>
      <c r="K30" s="24"/>
      <c r="L30"/>
      <c r="M30"/>
      <c r="R30" s="24"/>
      <c r="V30" s="35"/>
    </row>
    <row r="31" spans="1:22" ht="15" customHeight="1" x14ac:dyDescent="0.3">
      <c r="A31" s="4">
        <v>59</v>
      </c>
      <c r="B31" s="4">
        <v>38</v>
      </c>
      <c r="C31" s="3">
        <v>193</v>
      </c>
      <c r="D31" s="62">
        <f t="shared" ref="D31" si="2">SUM(F31:H31)</f>
        <v>167750.95000000001</v>
      </c>
      <c r="E31" s="65"/>
      <c r="F31" s="34">
        <f>1569*1.25</f>
        <v>1961.25</v>
      </c>
      <c r="G31" s="34">
        <f>(A31*500+B31*823)*1.25</f>
        <v>75967.5</v>
      </c>
      <c r="H31" s="34">
        <f>(C31*$M$20*364+C31*$N$20*1040+C31*$O$20*150)*1.25</f>
        <v>89822.200000000012</v>
      </c>
      <c r="J31" s="24"/>
      <c r="K31" s="24"/>
      <c r="L31"/>
      <c r="M31"/>
      <c r="R31" s="24"/>
      <c r="V31" s="35"/>
    </row>
    <row r="32" spans="1:22" ht="15" customHeight="1" x14ac:dyDescent="0.3">
      <c r="A32" s="4">
        <v>152</v>
      </c>
      <c r="B32" s="4">
        <v>100</v>
      </c>
      <c r="C32" s="3">
        <v>500</v>
      </c>
      <c r="D32" s="62">
        <f>SUM(F32:H32)</f>
        <v>430347.5</v>
      </c>
      <c r="E32" s="65"/>
      <c r="F32" s="34">
        <f>8818*1.25</f>
        <v>11022.5</v>
      </c>
      <c r="G32" s="34">
        <f>(A32*500+B32*733)*1.25</f>
        <v>186625</v>
      </c>
      <c r="H32" s="34">
        <f>(C32*$M$20*364+C32*$N$20*1040+C32*$O$20*150)*1.25</f>
        <v>232700</v>
      </c>
      <c r="J32" s="24"/>
      <c r="K32" s="24"/>
      <c r="L32"/>
      <c r="M32"/>
      <c r="R32" s="24"/>
      <c r="V32" s="35"/>
    </row>
    <row r="33" spans="1:22" ht="15" customHeight="1" x14ac:dyDescent="0.3">
      <c r="A33" s="4">
        <v>305</v>
      </c>
      <c r="B33" s="4">
        <v>203</v>
      </c>
      <c r="C33" s="3">
        <v>1000</v>
      </c>
      <c r="D33" s="62">
        <f t="shared" ref="D33" si="3">SUM(F33:H33)</f>
        <v>846370</v>
      </c>
      <c r="E33" s="65"/>
      <c r="F33" s="34">
        <f>24183*1.25</f>
        <v>30228.75</v>
      </c>
      <c r="G33" s="34">
        <f>(A33*500+B33*631)*1.25</f>
        <v>350741.25</v>
      </c>
      <c r="H33" s="34">
        <f>(C33*$M$20*364+C33*$N$20*1040+C33*$O$20*150)*1.25</f>
        <v>465400</v>
      </c>
      <c r="J33" s="24"/>
      <c r="K33" s="24"/>
      <c r="L33"/>
      <c r="M33"/>
      <c r="R33" s="24"/>
      <c r="V33" s="35"/>
    </row>
    <row r="34" spans="1:22" ht="8.1" customHeight="1" x14ac:dyDescent="0.3">
      <c r="L34"/>
      <c r="M34"/>
    </row>
    <row r="35" spans="1:22" ht="20.100000000000001" customHeight="1" x14ac:dyDescent="0.3">
      <c r="A35" s="53" t="s">
        <v>10</v>
      </c>
      <c r="B35" s="54"/>
      <c r="C35" s="55"/>
      <c r="D35" s="55"/>
      <c r="E35" s="55"/>
      <c r="F35" s="55"/>
      <c r="G35" s="56"/>
      <c r="H35" s="7">
        <v>2100</v>
      </c>
    </row>
    <row r="36" spans="1:22" ht="8.1" customHeight="1" x14ac:dyDescent="0.3">
      <c r="A36" s="40"/>
      <c r="B36" s="40"/>
      <c r="C36" s="41"/>
      <c r="D36" s="41"/>
      <c r="E36" s="41"/>
      <c r="F36" s="41"/>
      <c r="G36" s="41"/>
      <c r="H36" s="41"/>
    </row>
    <row r="37" spans="1:22" ht="15" customHeight="1" x14ac:dyDescent="0.3">
      <c r="A37" s="51" t="s">
        <v>1</v>
      </c>
      <c r="B37" s="51" t="s">
        <v>31</v>
      </c>
      <c r="C37" s="51" t="s">
        <v>2</v>
      </c>
      <c r="D37" s="68" t="s">
        <v>3</v>
      </c>
      <c r="E37" s="69"/>
      <c r="F37" s="52" t="s">
        <v>4</v>
      </c>
      <c r="G37" s="52"/>
      <c r="H37" s="51" t="s">
        <v>5</v>
      </c>
    </row>
    <row r="38" spans="1:22" ht="15" customHeight="1" x14ac:dyDescent="0.3">
      <c r="A38" s="51"/>
      <c r="B38" s="51"/>
      <c r="C38" s="51"/>
      <c r="D38" s="70"/>
      <c r="E38" s="71"/>
      <c r="F38" s="16" t="s">
        <v>7</v>
      </c>
      <c r="G38" s="16" t="s">
        <v>8</v>
      </c>
      <c r="H38" s="51"/>
    </row>
    <row r="39" spans="1:22" ht="15" customHeight="1" x14ac:dyDescent="0.3">
      <c r="A39" s="4">
        <v>25</v>
      </c>
      <c r="B39" s="4">
        <v>16</v>
      </c>
      <c r="C39" s="3">
        <v>80</v>
      </c>
      <c r="D39" s="62">
        <f>SUM(F39:H39)</f>
        <v>64298.25</v>
      </c>
      <c r="E39" s="65"/>
      <c r="F39" s="34">
        <f>181*1.25</f>
        <v>226.25</v>
      </c>
      <c r="G39" s="34">
        <f>(A39*400+B39*717)*1.25</f>
        <v>26840</v>
      </c>
      <c r="H39" s="34">
        <f>(C39*$M$20*364+C39*$N$20*1040+C39*$O$20*150)*1.25</f>
        <v>37232</v>
      </c>
      <c r="L39"/>
      <c r="M39"/>
      <c r="R39" s="24"/>
      <c r="V39" s="35"/>
    </row>
    <row r="40" spans="1:22" ht="15" customHeight="1" x14ac:dyDescent="0.3">
      <c r="A40" s="4">
        <v>59</v>
      </c>
      <c r="B40" s="4">
        <v>39</v>
      </c>
      <c r="C40" s="3">
        <v>193</v>
      </c>
      <c r="D40" s="62">
        <f t="shared" ref="D40" si="4">SUM(F40:H40)</f>
        <v>153799.70000000001</v>
      </c>
      <c r="E40" s="65"/>
      <c r="F40" s="34">
        <f>1335*1.25</f>
        <v>1668.75</v>
      </c>
      <c r="G40" s="34">
        <f>(A40*400+B40*673)*1.25</f>
        <v>62308.75</v>
      </c>
      <c r="H40" s="34">
        <f>(C40*$M$20*364+C40*$N$20*1040+C40*$O$20*150)*1.25</f>
        <v>89822.200000000012</v>
      </c>
      <c r="J40" s="24"/>
      <c r="K40" s="24"/>
      <c r="R40" s="24"/>
      <c r="V40" s="35"/>
    </row>
    <row r="41" spans="1:22" ht="15" customHeight="1" x14ac:dyDescent="0.3">
      <c r="A41" s="4">
        <v>152</v>
      </c>
      <c r="B41" s="4">
        <v>103</v>
      </c>
      <c r="C41" s="3">
        <v>500</v>
      </c>
      <c r="D41" s="62">
        <f>SUM(F41:H41)</f>
        <v>394603.75</v>
      </c>
      <c r="E41" s="65"/>
      <c r="F41" s="34">
        <f>7335*1.25</f>
        <v>9168.75</v>
      </c>
      <c r="G41" s="34">
        <f>(A41*400+B41*596)*1.25</f>
        <v>152735</v>
      </c>
      <c r="H41" s="34">
        <f>(C41*$M$20*364+C41*$N$20*1040+C41*$O$20*150)*1.25</f>
        <v>232700</v>
      </c>
      <c r="J41" s="24"/>
      <c r="K41" s="24"/>
      <c r="R41" s="24"/>
      <c r="V41" s="35"/>
    </row>
    <row r="42" spans="1:22" ht="15" customHeight="1" x14ac:dyDescent="0.3">
      <c r="A42" s="4">
        <v>305</v>
      </c>
      <c r="B42" s="4">
        <v>212</v>
      </c>
      <c r="C42" s="3">
        <v>1000</v>
      </c>
      <c r="D42" s="62">
        <f t="shared" ref="D42" si="5">SUM(F42:H42)</f>
        <v>778938.75</v>
      </c>
      <c r="E42" s="65"/>
      <c r="F42" s="34">
        <f>20075*1.25</f>
        <v>25093.75</v>
      </c>
      <c r="G42" s="34">
        <f>(A42*400+B42*513)*1.25</f>
        <v>288445</v>
      </c>
      <c r="H42" s="34">
        <f>(C42*$M$20*364+C42*$N$20*1040+C42*$O$20*150)*1.25</f>
        <v>465400</v>
      </c>
      <c r="J42" s="24"/>
      <c r="K42" s="24"/>
      <c r="L42"/>
      <c r="M42"/>
      <c r="R42" s="24"/>
      <c r="V42" s="35"/>
    </row>
  </sheetData>
  <mergeCells count="53">
    <mergeCell ref="D40:E40"/>
    <mergeCell ref="D41:E41"/>
    <mergeCell ref="D42:E42"/>
    <mergeCell ref="D33:E33"/>
    <mergeCell ref="A35:G35"/>
    <mergeCell ref="A37:A38"/>
    <mergeCell ref="B37:B38"/>
    <mergeCell ref="C37:C38"/>
    <mergeCell ref="D37:E38"/>
    <mergeCell ref="F37:G37"/>
    <mergeCell ref="H37:H38"/>
    <mergeCell ref="D39:E39"/>
    <mergeCell ref="H20:H21"/>
    <mergeCell ref="D23:E23"/>
    <mergeCell ref="D24:E24"/>
    <mergeCell ref="A27:G27"/>
    <mergeCell ref="A28:A29"/>
    <mergeCell ref="B28:B29"/>
    <mergeCell ref="C28:C29"/>
    <mergeCell ref="D28:E29"/>
    <mergeCell ref="H28:H29"/>
    <mergeCell ref="D22:E22"/>
    <mergeCell ref="D25:E25"/>
    <mergeCell ref="A20:A21"/>
    <mergeCell ref="B20:B21"/>
    <mergeCell ref="C20:C21"/>
    <mergeCell ref="A12:A13"/>
    <mergeCell ref="A1:H1"/>
    <mergeCell ref="A3:H3"/>
    <mergeCell ref="A5:H5"/>
    <mergeCell ref="E7:F7"/>
    <mergeCell ref="E8:F8"/>
    <mergeCell ref="A10:E10"/>
    <mergeCell ref="F10:G10"/>
    <mergeCell ref="C12:D13"/>
    <mergeCell ref="E12:G13"/>
    <mergeCell ref="H12:H13"/>
    <mergeCell ref="M12:O12"/>
    <mergeCell ref="D30:E30"/>
    <mergeCell ref="D31:E31"/>
    <mergeCell ref="D32:E32"/>
    <mergeCell ref="F28:G28"/>
    <mergeCell ref="C17:D17"/>
    <mergeCell ref="E17:G17"/>
    <mergeCell ref="A19:G19"/>
    <mergeCell ref="C14:D14"/>
    <mergeCell ref="E14:G14"/>
    <mergeCell ref="C15:D15"/>
    <mergeCell ref="E15:G15"/>
    <mergeCell ref="C16:D16"/>
    <mergeCell ref="E16:G16"/>
    <mergeCell ref="D20:E21"/>
    <mergeCell ref="F20:G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sqref="A1:H1"/>
    </sheetView>
  </sheetViews>
  <sheetFormatPr defaultRowHeight="14.4" x14ac:dyDescent="0.3"/>
  <cols>
    <col min="1" max="2" width="11.109375" style="1" customWidth="1"/>
    <col min="3" max="3" width="8.6640625" style="1" customWidth="1"/>
    <col min="4" max="4" width="16.6640625" style="1" customWidth="1"/>
    <col min="5" max="5" width="1.6640625" style="1" customWidth="1"/>
    <col min="6" max="6" width="8.6640625" style="1" customWidth="1"/>
    <col min="7" max="7" width="16.6640625" style="1" customWidth="1"/>
    <col min="8" max="8" width="13.6640625" style="1" customWidth="1"/>
    <col min="9" max="11" width="9.5546875" customWidth="1"/>
    <col min="12" max="13" width="9.5546875" style="2" hidden="1" customWidth="1"/>
    <col min="14" max="15" width="9.5546875" hidden="1" customWidth="1"/>
    <col min="16" max="17" width="9.5546875" customWidth="1"/>
  </cols>
  <sheetData>
    <row r="1" spans="1:22" ht="30" customHeight="1" x14ac:dyDescent="0.3">
      <c r="A1" s="76" t="s">
        <v>36</v>
      </c>
      <c r="B1" s="76"/>
      <c r="C1" s="76"/>
      <c r="D1" s="76"/>
      <c r="E1" s="76"/>
      <c r="F1" s="76"/>
      <c r="G1" s="76"/>
      <c r="H1" s="76"/>
    </row>
    <row r="2" spans="1:22" ht="8.1" customHeight="1" x14ac:dyDescent="0.3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">
      <c r="A3" s="77" t="s">
        <v>14</v>
      </c>
      <c r="B3" s="77"/>
      <c r="C3" s="78"/>
      <c r="D3" s="78"/>
      <c r="E3" s="78"/>
      <c r="F3" s="78"/>
      <c r="G3" s="78"/>
      <c r="H3" s="78"/>
    </row>
    <row r="4" spans="1:22" ht="8.1" customHeight="1" x14ac:dyDescent="0.3">
      <c r="A4" s="28"/>
      <c r="B4" s="28"/>
      <c r="C4" s="29"/>
      <c r="D4" s="29"/>
      <c r="E4" s="29"/>
      <c r="F4" s="29"/>
      <c r="G4" s="29"/>
      <c r="H4" s="29"/>
    </row>
    <row r="5" spans="1:22" ht="20.100000000000001" customHeight="1" x14ac:dyDescent="0.3">
      <c r="A5" s="53" t="s">
        <v>11</v>
      </c>
      <c r="B5" s="54"/>
      <c r="C5" s="55"/>
      <c r="D5" s="55"/>
      <c r="E5" s="55"/>
      <c r="F5" s="55"/>
      <c r="G5" s="55"/>
      <c r="H5" s="56"/>
    </row>
    <row r="6" spans="1:22" ht="8.1" customHeight="1" x14ac:dyDescent="0.3">
      <c r="A6" s="28"/>
      <c r="B6" s="28"/>
      <c r="C6" s="29"/>
      <c r="D6" s="29"/>
      <c r="E6" s="29"/>
      <c r="F6" s="29"/>
      <c r="G6" s="29"/>
      <c r="H6" s="29"/>
    </row>
    <row r="7" spans="1:22" ht="15" customHeight="1" x14ac:dyDescent="0.3">
      <c r="A7" s="28"/>
      <c r="B7" s="28"/>
      <c r="C7" s="29"/>
      <c r="D7" s="26" t="s">
        <v>19</v>
      </c>
      <c r="E7" s="79" t="s">
        <v>20</v>
      </c>
      <c r="F7" s="80"/>
      <c r="G7" s="26" t="s">
        <v>21</v>
      </c>
    </row>
    <row r="8" spans="1:22" ht="15" customHeight="1" x14ac:dyDescent="0.3">
      <c r="A8" s="30" t="s">
        <v>15</v>
      </c>
      <c r="B8" s="37"/>
      <c r="C8" s="31"/>
      <c r="D8" s="26">
        <v>635</v>
      </c>
      <c r="E8" s="79">
        <v>550</v>
      </c>
      <c r="F8" s="80">
        <v>460</v>
      </c>
      <c r="G8" s="26">
        <v>375</v>
      </c>
      <c r="H8" s="19" t="s">
        <v>18</v>
      </c>
    </row>
    <row r="9" spans="1:22" ht="8.1" customHeight="1" x14ac:dyDescent="0.3">
      <c r="A9" s="28"/>
      <c r="B9" s="28"/>
      <c r="C9" s="29"/>
      <c r="D9" s="29"/>
      <c r="E9" s="29"/>
      <c r="F9" s="29"/>
      <c r="G9" s="29"/>
      <c r="H9" s="29"/>
    </row>
    <row r="10" spans="1:22" ht="15" customHeight="1" x14ac:dyDescent="0.3">
      <c r="A10" s="72" t="s">
        <v>16</v>
      </c>
      <c r="B10" s="73"/>
      <c r="C10" s="74"/>
      <c r="D10" s="74"/>
      <c r="E10" s="75"/>
      <c r="F10" s="66">
        <v>5280</v>
      </c>
      <c r="G10" s="67"/>
      <c r="H10" s="19" t="s">
        <v>17</v>
      </c>
    </row>
    <row r="11" spans="1:22" ht="8.1" customHeight="1" x14ac:dyDescent="0.3">
      <c r="A11" s="28"/>
      <c r="B11" s="28"/>
      <c r="C11" s="29"/>
      <c r="D11" s="29"/>
      <c r="E11" s="29"/>
      <c r="F11" s="29"/>
      <c r="G11" s="29"/>
      <c r="H11" s="29"/>
    </row>
    <row r="12" spans="1:22" ht="15" customHeight="1" x14ac:dyDescent="0.3">
      <c r="A12" s="57" t="s">
        <v>2</v>
      </c>
      <c r="B12" s="32"/>
      <c r="C12" s="58" t="s">
        <v>3</v>
      </c>
      <c r="D12" s="59"/>
      <c r="E12" s="57" t="s">
        <v>4</v>
      </c>
      <c r="F12" s="57"/>
      <c r="G12" s="64"/>
      <c r="H12" s="57" t="s">
        <v>5</v>
      </c>
      <c r="L12"/>
      <c r="M12" s="49" t="s">
        <v>22</v>
      </c>
      <c r="N12" s="49"/>
      <c r="O12" s="50"/>
    </row>
    <row r="13" spans="1:22" ht="15" customHeight="1" x14ac:dyDescent="0.3">
      <c r="A13" s="57"/>
      <c r="B13" s="33"/>
      <c r="C13" s="60"/>
      <c r="D13" s="61"/>
      <c r="E13" s="57"/>
      <c r="F13" s="57"/>
      <c r="G13" s="64"/>
      <c r="H13" s="57"/>
      <c r="L13"/>
      <c r="M13" s="36" t="s">
        <v>19</v>
      </c>
      <c r="N13" s="36" t="s">
        <v>20</v>
      </c>
      <c r="O13" s="36" t="s">
        <v>21</v>
      </c>
    </row>
    <row r="14" spans="1:22" ht="15" customHeight="1" x14ac:dyDescent="0.3">
      <c r="A14" s="3">
        <v>15</v>
      </c>
      <c r="B14" s="38"/>
      <c r="C14" s="62">
        <f>E14+H14</f>
        <v>13941.296774999999</v>
      </c>
      <c r="D14" s="56"/>
      <c r="E14" s="63">
        <f>$F$10</f>
        <v>5280</v>
      </c>
      <c r="F14" s="63"/>
      <c r="G14" s="64"/>
      <c r="H14" s="34">
        <f>A14*$M$14*$D$8+A14*$N$14*$E$8+A14*$O$14*$G$8</f>
        <v>8661.2967749999989</v>
      </c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  <c r="R14" s="24"/>
      <c r="V14" s="35"/>
    </row>
    <row r="15" spans="1:22" ht="15" customHeight="1" x14ac:dyDescent="0.3">
      <c r="A15" s="3">
        <v>20</v>
      </c>
      <c r="B15" s="38"/>
      <c r="C15" s="62">
        <f>E15+H15</f>
        <v>16828.395700000001</v>
      </c>
      <c r="D15" s="56"/>
      <c r="E15" s="63">
        <f t="shared" ref="E15:E17" si="0">$F$10</f>
        <v>5280</v>
      </c>
      <c r="F15" s="63"/>
      <c r="G15" s="64"/>
      <c r="H15" s="34">
        <f>A15*$M$14*$D$8+A15*$N$14*$E$8+A15*$O$14*$G$8</f>
        <v>11548.395700000001</v>
      </c>
      <c r="K15" s="24"/>
      <c r="R15" s="24"/>
      <c r="V15" s="35"/>
    </row>
    <row r="16" spans="1:22" ht="15" customHeight="1" x14ac:dyDescent="0.3">
      <c r="A16" s="3">
        <v>30</v>
      </c>
      <c r="B16" s="38"/>
      <c r="C16" s="62">
        <f>E16+H16</f>
        <v>22602.593549999998</v>
      </c>
      <c r="D16" s="56"/>
      <c r="E16" s="63">
        <f t="shared" si="0"/>
        <v>5280</v>
      </c>
      <c r="F16" s="63"/>
      <c r="G16" s="64"/>
      <c r="H16" s="34">
        <f>A16*$M$14*$D$8+A16*$N$14*$E$8+A16*$O$14*$G$8</f>
        <v>17322.593549999998</v>
      </c>
      <c r="K16" s="24"/>
      <c r="R16" s="24"/>
      <c r="V16" s="35"/>
    </row>
    <row r="17" spans="1:22" ht="15" customHeight="1" x14ac:dyDescent="0.3">
      <c r="A17" s="3">
        <v>40</v>
      </c>
      <c r="B17" s="38"/>
      <c r="C17" s="62">
        <f>E17+H17</f>
        <v>28376.791400000002</v>
      </c>
      <c r="D17" s="56"/>
      <c r="E17" s="63">
        <f t="shared" si="0"/>
        <v>5280</v>
      </c>
      <c r="F17" s="63"/>
      <c r="G17" s="64"/>
      <c r="H17" s="34">
        <f>A17*$M$14*$D$8+A17*$N$14*$E$8+A17*$O$14*$G$8</f>
        <v>23096.791400000002</v>
      </c>
      <c r="K17" s="24"/>
      <c r="R17" s="24"/>
      <c r="V17" s="35"/>
    </row>
    <row r="18" spans="1:22" ht="8.1" customHeight="1" x14ac:dyDescent="0.3"/>
    <row r="19" spans="1:22" ht="20.100000000000001" customHeight="1" x14ac:dyDescent="0.3">
      <c r="A19" s="53" t="s">
        <v>12</v>
      </c>
      <c r="B19" s="54"/>
      <c r="C19" s="55"/>
      <c r="D19" s="55"/>
      <c r="E19" s="55"/>
      <c r="F19" s="55"/>
      <c r="G19" s="56"/>
      <c r="H19" s="7">
        <v>1900</v>
      </c>
      <c r="M19" s="2" t="s">
        <v>32</v>
      </c>
      <c r="N19" t="s">
        <v>33</v>
      </c>
      <c r="O19" t="s">
        <v>21</v>
      </c>
    </row>
    <row r="20" spans="1:22" ht="15" customHeight="1" x14ac:dyDescent="0.3">
      <c r="A20" s="51" t="s">
        <v>30</v>
      </c>
      <c r="B20" s="51" t="s">
        <v>31</v>
      </c>
      <c r="C20" s="51" t="s">
        <v>2</v>
      </c>
      <c r="D20" s="68" t="s">
        <v>3</v>
      </c>
      <c r="E20" s="69"/>
      <c r="F20" s="52" t="s">
        <v>4</v>
      </c>
      <c r="G20" s="52"/>
      <c r="H20" s="51" t="s">
        <v>5</v>
      </c>
      <c r="L20" s="22" t="s">
        <v>24</v>
      </c>
      <c r="M20" s="23">
        <v>0.88500000000000001</v>
      </c>
      <c r="N20" s="23">
        <v>3.6999999999999998E-2</v>
      </c>
      <c r="O20" s="23">
        <v>7.8E-2</v>
      </c>
    </row>
    <row r="21" spans="1:22" ht="15" customHeight="1" x14ac:dyDescent="0.3">
      <c r="A21" s="51"/>
      <c r="B21" s="51"/>
      <c r="C21" s="51"/>
      <c r="D21" s="70"/>
      <c r="E21" s="71"/>
      <c r="F21" s="16" t="s">
        <v>7</v>
      </c>
      <c r="G21" s="16" t="s">
        <v>8</v>
      </c>
      <c r="H21" s="51"/>
      <c r="L21" s="22" t="s">
        <v>25</v>
      </c>
      <c r="M21" s="23">
        <v>0.88500000000000001</v>
      </c>
      <c r="N21" s="23">
        <v>3.6999999999999998E-2</v>
      </c>
      <c r="O21" s="23">
        <v>7.8E-2</v>
      </c>
    </row>
    <row r="22" spans="1:22" ht="15" customHeight="1" x14ac:dyDescent="0.3">
      <c r="A22" s="4">
        <v>25</v>
      </c>
      <c r="B22" s="4">
        <v>15</v>
      </c>
      <c r="C22" s="3">
        <v>80</v>
      </c>
      <c r="D22" s="62">
        <f>SUM(F22:H22)</f>
        <v>70671.25</v>
      </c>
      <c r="E22" s="65"/>
      <c r="F22" s="34">
        <f>191*1.25</f>
        <v>238.75</v>
      </c>
      <c r="G22" s="34">
        <f>(A22*500+B22*790)*1.25</f>
        <v>30437.5</v>
      </c>
      <c r="H22" s="34">
        <f>(C22*$M$20*382+C22*$N$20*1040+C22*$O$20*300)*1.25</f>
        <v>39995</v>
      </c>
      <c r="J22" s="39"/>
      <c r="L22" s="22" t="s">
        <v>26</v>
      </c>
      <c r="M22" s="23">
        <v>0.88500000000000001</v>
      </c>
      <c r="N22" s="23">
        <v>3.6999999999999998E-2</v>
      </c>
      <c r="O22" s="23">
        <v>7.8E-2</v>
      </c>
      <c r="R22" s="24"/>
      <c r="V22" s="35"/>
    </row>
    <row r="23" spans="1:22" ht="15" customHeight="1" x14ac:dyDescent="0.3">
      <c r="A23" s="4">
        <v>59</v>
      </c>
      <c r="B23" s="4">
        <v>38</v>
      </c>
      <c r="C23" s="3">
        <v>193</v>
      </c>
      <c r="D23" s="62">
        <f t="shared" ref="D23" si="1">SUM(F23:H23)</f>
        <v>170241.6875</v>
      </c>
      <c r="E23" s="65"/>
      <c r="F23" s="34">
        <f>1421*1.25</f>
        <v>1776.25</v>
      </c>
      <c r="G23" s="34">
        <f>(A23*500+B23*739)*1.25</f>
        <v>71977.5</v>
      </c>
      <c r="H23" s="34">
        <f t="shared" ref="H23:H25" si="2">(C23*$M$20*382+C23*$N$20*1040+C23*$O$20*300)*1.25</f>
        <v>96487.9375</v>
      </c>
      <c r="J23" s="39"/>
      <c r="R23" s="24"/>
      <c r="V23" s="35"/>
    </row>
    <row r="24" spans="1:22" ht="15" customHeight="1" x14ac:dyDescent="0.3">
      <c r="A24" s="4">
        <v>152</v>
      </c>
      <c r="B24" s="4">
        <v>99</v>
      </c>
      <c r="C24" s="3">
        <v>500</v>
      </c>
      <c r="D24" s="62">
        <f>SUM(F24:H24)</f>
        <v>436091.25</v>
      </c>
      <c r="E24" s="65"/>
      <c r="F24" s="34">
        <f>7954*1.25</f>
        <v>9942.5</v>
      </c>
      <c r="G24" s="34">
        <f>(A24*500+B24*656)*1.25</f>
        <v>176180</v>
      </c>
      <c r="H24" s="34">
        <f t="shared" si="2"/>
        <v>249968.75</v>
      </c>
      <c r="J24" s="39"/>
      <c r="K24" s="39"/>
      <c r="R24" s="24"/>
      <c r="V24" s="35"/>
    </row>
    <row r="25" spans="1:22" ht="15" customHeight="1" x14ac:dyDescent="0.3">
      <c r="A25" s="4">
        <v>305</v>
      </c>
      <c r="B25" s="4">
        <v>203</v>
      </c>
      <c r="C25" s="3">
        <v>1000</v>
      </c>
      <c r="D25" s="62">
        <f>SUM(F25:H25)</f>
        <v>860832.5</v>
      </c>
      <c r="E25" s="65"/>
      <c r="F25" s="34">
        <f>21724*1.25</f>
        <v>27155</v>
      </c>
      <c r="G25" s="34">
        <f>(A25*500+B25*564)*1.25</f>
        <v>333740</v>
      </c>
      <c r="H25" s="34">
        <f t="shared" si="2"/>
        <v>499937.5</v>
      </c>
      <c r="J25" s="39"/>
      <c r="K25" s="24"/>
      <c r="R25" s="24"/>
      <c r="V25" s="35"/>
    </row>
    <row r="26" spans="1:22" ht="8.1" customHeight="1" x14ac:dyDescent="0.3"/>
    <row r="27" spans="1:22" ht="20.100000000000001" customHeight="1" x14ac:dyDescent="0.3">
      <c r="A27" s="53" t="s">
        <v>13</v>
      </c>
      <c r="B27" s="54"/>
      <c r="C27" s="55"/>
      <c r="D27" s="55"/>
      <c r="E27" s="55"/>
      <c r="F27" s="55"/>
      <c r="G27" s="56"/>
      <c r="H27" s="7">
        <v>1700</v>
      </c>
      <c r="L27"/>
      <c r="M27"/>
    </row>
    <row r="28" spans="1:22" ht="15" customHeight="1" x14ac:dyDescent="0.3">
      <c r="A28" s="51" t="s">
        <v>1</v>
      </c>
      <c r="B28" s="51" t="s">
        <v>31</v>
      </c>
      <c r="C28" s="51" t="s">
        <v>2</v>
      </c>
      <c r="D28" s="68" t="s">
        <v>3</v>
      </c>
      <c r="E28" s="69"/>
      <c r="F28" s="52" t="s">
        <v>4</v>
      </c>
      <c r="G28" s="52"/>
      <c r="H28" s="51" t="s">
        <v>5</v>
      </c>
      <c r="L28"/>
      <c r="M28"/>
    </row>
    <row r="29" spans="1:22" ht="15" customHeight="1" x14ac:dyDescent="0.3">
      <c r="A29" s="51"/>
      <c r="B29" s="51"/>
      <c r="C29" s="51"/>
      <c r="D29" s="70"/>
      <c r="E29" s="71"/>
      <c r="F29" s="16" t="s">
        <v>7</v>
      </c>
      <c r="G29" s="16" t="s">
        <v>8</v>
      </c>
      <c r="H29" s="51"/>
      <c r="L29"/>
      <c r="M29"/>
    </row>
    <row r="30" spans="1:22" ht="15" customHeight="1" x14ac:dyDescent="0.3">
      <c r="A30" s="4">
        <v>25</v>
      </c>
      <c r="B30" s="4">
        <v>15</v>
      </c>
      <c r="C30" s="3">
        <v>80</v>
      </c>
      <c r="D30" s="62">
        <f>SUM(F30:H30)</f>
        <v>70671.25</v>
      </c>
      <c r="E30" s="65"/>
      <c r="F30" s="34">
        <f>191*1.25</f>
        <v>238.75</v>
      </c>
      <c r="G30" s="34">
        <f>(A30*500+B30*790)*1.25</f>
        <v>30437.5</v>
      </c>
      <c r="H30" s="34">
        <f>(C30*$M$20*382+C30*$N$20*1040+C30*$O$20*300)*1.25</f>
        <v>39995</v>
      </c>
      <c r="J30" s="39"/>
      <c r="K30" s="24"/>
      <c r="L30"/>
      <c r="M30"/>
      <c r="R30" s="24"/>
      <c r="V30" s="35"/>
    </row>
    <row r="31" spans="1:22" ht="15" customHeight="1" x14ac:dyDescent="0.3">
      <c r="A31" s="4">
        <v>59</v>
      </c>
      <c r="B31" s="4">
        <v>38</v>
      </c>
      <c r="C31" s="3">
        <v>193</v>
      </c>
      <c r="D31" s="62">
        <f t="shared" ref="D31" si="3">SUM(F31:H31)</f>
        <v>170241.6875</v>
      </c>
      <c r="E31" s="65"/>
      <c r="F31" s="34">
        <f>1421*1.25</f>
        <v>1776.25</v>
      </c>
      <c r="G31" s="34">
        <f>(A31*500+B31*739)*1.25</f>
        <v>71977.5</v>
      </c>
      <c r="H31" s="34">
        <f t="shared" ref="H31:H33" si="4">(C31*$M$20*382+C31*$N$20*1040+C31*$O$20*300)*1.25</f>
        <v>96487.9375</v>
      </c>
      <c r="J31" s="39"/>
      <c r="K31" s="24"/>
      <c r="L31"/>
      <c r="M31"/>
      <c r="R31" s="24"/>
      <c r="V31" s="35"/>
    </row>
    <row r="32" spans="1:22" ht="15" customHeight="1" x14ac:dyDescent="0.3">
      <c r="A32" s="4">
        <v>152</v>
      </c>
      <c r="B32" s="4">
        <v>99</v>
      </c>
      <c r="C32" s="3">
        <v>500</v>
      </c>
      <c r="D32" s="62">
        <f>SUM(F32:H32)</f>
        <v>436091.25</v>
      </c>
      <c r="E32" s="65"/>
      <c r="F32" s="34">
        <f>7954*1.25</f>
        <v>9942.5</v>
      </c>
      <c r="G32" s="34">
        <f>(A32*500+B32*656)*1.25</f>
        <v>176180</v>
      </c>
      <c r="H32" s="34">
        <f t="shared" si="4"/>
        <v>249968.75</v>
      </c>
      <c r="J32" s="39"/>
      <c r="K32" s="24"/>
      <c r="L32"/>
      <c r="M32"/>
      <c r="R32" s="24"/>
      <c r="V32" s="35"/>
    </row>
    <row r="33" spans="1:22" ht="15" customHeight="1" x14ac:dyDescent="0.3">
      <c r="A33" s="4">
        <v>305</v>
      </c>
      <c r="B33" s="4">
        <v>203</v>
      </c>
      <c r="C33" s="3">
        <v>1000</v>
      </c>
      <c r="D33" s="62">
        <f>SUM(F33:H33)</f>
        <v>860832.5</v>
      </c>
      <c r="E33" s="65"/>
      <c r="F33" s="34">
        <f>21724*1.25</f>
        <v>27155</v>
      </c>
      <c r="G33" s="34">
        <f>(A33*500+B33*564)*1.25</f>
        <v>333740</v>
      </c>
      <c r="H33" s="34">
        <f t="shared" si="4"/>
        <v>499937.5</v>
      </c>
      <c r="J33" s="39"/>
      <c r="K33" s="24"/>
      <c r="L33"/>
      <c r="M33"/>
      <c r="R33" s="24"/>
      <c r="V33" s="35"/>
    </row>
    <row r="34" spans="1:22" ht="8.1" customHeight="1" x14ac:dyDescent="0.3">
      <c r="L34"/>
      <c r="M34"/>
    </row>
  </sheetData>
  <mergeCells count="42">
    <mergeCell ref="H20:H21"/>
    <mergeCell ref="H28:H29"/>
    <mergeCell ref="D33:E33"/>
    <mergeCell ref="D23:E23"/>
    <mergeCell ref="D24:E24"/>
    <mergeCell ref="A27:G27"/>
    <mergeCell ref="A28:A29"/>
    <mergeCell ref="B28:B29"/>
    <mergeCell ref="C28:C29"/>
    <mergeCell ref="D28:E29"/>
    <mergeCell ref="F28:G28"/>
    <mergeCell ref="D32:E32"/>
    <mergeCell ref="D30:E30"/>
    <mergeCell ref="D31:E31"/>
    <mergeCell ref="A1:H1"/>
    <mergeCell ref="A3:H3"/>
    <mergeCell ref="A5:H5"/>
    <mergeCell ref="E7:F7"/>
    <mergeCell ref="E8:F8"/>
    <mergeCell ref="A10:E10"/>
    <mergeCell ref="F10:G10"/>
    <mergeCell ref="C12:D13"/>
    <mergeCell ref="E12:G13"/>
    <mergeCell ref="H12:H13"/>
    <mergeCell ref="A19:G19"/>
    <mergeCell ref="A12:A13"/>
    <mergeCell ref="D25:E25"/>
    <mergeCell ref="D22:E22"/>
    <mergeCell ref="C17:D17"/>
    <mergeCell ref="E17:G17"/>
    <mergeCell ref="A20:A21"/>
    <mergeCell ref="B20:B21"/>
    <mergeCell ref="C20:C21"/>
    <mergeCell ref="D20:E21"/>
    <mergeCell ref="F20:G20"/>
    <mergeCell ref="M12:O12"/>
    <mergeCell ref="E14:G14"/>
    <mergeCell ref="C15:D15"/>
    <mergeCell ref="E15:G15"/>
    <mergeCell ref="C16:D16"/>
    <mergeCell ref="E16:G16"/>
    <mergeCell ref="C14:D1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sqref="A1:H1"/>
    </sheetView>
  </sheetViews>
  <sheetFormatPr defaultRowHeight="14.4" x14ac:dyDescent="0.3"/>
  <cols>
    <col min="1" max="2" width="11.109375" style="1" customWidth="1"/>
    <col min="3" max="3" width="8.6640625" style="1" customWidth="1"/>
    <col min="4" max="4" width="16.6640625" style="1" customWidth="1"/>
    <col min="5" max="5" width="1.6640625" style="1" customWidth="1"/>
    <col min="6" max="6" width="8.6640625" style="1" customWidth="1"/>
    <col min="7" max="7" width="16.6640625" style="1" customWidth="1"/>
    <col min="8" max="8" width="13.6640625" style="1" customWidth="1"/>
    <col min="9" max="10" width="9.5546875" customWidth="1"/>
    <col min="11" max="11" width="9.88671875" customWidth="1"/>
    <col min="12" max="13" width="9.5546875" style="2" hidden="1" customWidth="1"/>
    <col min="14" max="15" width="9.5546875" hidden="1" customWidth="1"/>
    <col min="16" max="17" width="9.5546875" customWidth="1"/>
  </cols>
  <sheetData>
    <row r="1" spans="1:22" ht="30" customHeight="1" x14ac:dyDescent="0.3">
      <c r="A1" s="76" t="s">
        <v>37</v>
      </c>
      <c r="B1" s="76"/>
      <c r="C1" s="76"/>
      <c r="D1" s="76"/>
      <c r="E1" s="76"/>
      <c r="F1" s="76"/>
      <c r="G1" s="76"/>
      <c r="H1" s="76"/>
    </row>
    <row r="2" spans="1:22" ht="8.1" customHeight="1" x14ac:dyDescent="0.3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">
      <c r="A3" s="77" t="s">
        <v>14</v>
      </c>
      <c r="B3" s="77"/>
      <c r="C3" s="78"/>
      <c r="D3" s="78"/>
      <c r="E3" s="78"/>
      <c r="F3" s="78"/>
      <c r="G3" s="78"/>
      <c r="H3" s="78"/>
    </row>
    <row r="4" spans="1:22" ht="8.1" customHeight="1" x14ac:dyDescent="0.3">
      <c r="A4" s="28"/>
      <c r="B4" s="28"/>
      <c r="C4" s="29"/>
      <c r="D4" s="29"/>
      <c r="E4" s="29"/>
      <c r="F4" s="29"/>
      <c r="G4" s="29"/>
      <c r="H4" s="29"/>
    </row>
    <row r="5" spans="1:22" ht="20.100000000000001" customHeight="1" x14ac:dyDescent="0.3">
      <c r="A5" s="53" t="s">
        <v>29</v>
      </c>
      <c r="B5" s="54"/>
      <c r="C5" s="55"/>
      <c r="D5" s="55"/>
      <c r="E5" s="55"/>
      <c r="F5" s="55"/>
      <c r="G5" s="55"/>
      <c r="H5" s="56"/>
    </row>
    <row r="6" spans="1:22" ht="8.1" customHeight="1" x14ac:dyDescent="0.3">
      <c r="A6" s="28"/>
      <c r="B6" s="28"/>
      <c r="C6" s="29"/>
      <c r="D6" s="29"/>
      <c r="E6" s="29"/>
      <c r="F6" s="29"/>
      <c r="G6" s="29"/>
      <c r="H6" s="29"/>
    </row>
    <row r="7" spans="1:22" ht="15" customHeight="1" x14ac:dyDescent="0.3">
      <c r="A7" s="28"/>
      <c r="B7" s="28"/>
      <c r="C7" s="29"/>
      <c r="D7" s="26" t="s">
        <v>19</v>
      </c>
      <c r="E7" s="79" t="s">
        <v>20</v>
      </c>
      <c r="F7" s="80"/>
      <c r="G7" s="26" t="s">
        <v>21</v>
      </c>
    </row>
    <row r="8" spans="1:22" ht="15" customHeight="1" x14ac:dyDescent="0.3">
      <c r="A8" s="30" t="s">
        <v>15</v>
      </c>
      <c r="B8" s="37"/>
      <c r="C8" s="31"/>
      <c r="D8" s="26">
        <v>655</v>
      </c>
      <c r="E8" s="79">
        <v>615</v>
      </c>
      <c r="F8" s="80">
        <v>460</v>
      </c>
      <c r="G8" s="26">
        <v>275</v>
      </c>
      <c r="H8" s="19" t="s">
        <v>18</v>
      </c>
    </row>
    <row r="9" spans="1:22" ht="8.1" customHeight="1" x14ac:dyDescent="0.3">
      <c r="A9" s="28"/>
      <c r="B9" s="28"/>
      <c r="C9" s="29"/>
      <c r="D9" s="29"/>
      <c r="E9" s="29"/>
      <c r="F9" s="29"/>
      <c r="G9" s="29"/>
      <c r="H9" s="29"/>
    </row>
    <row r="10" spans="1:22" ht="15" customHeight="1" x14ac:dyDescent="0.3">
      <c r="A10" s="72" t="s">
        <v>16</v>
      </c>
      <c r="B10" s="73"/>
      <c r="C10" s="74"/>
      <c r="D10" s="74"/>
      <c r="E10" s="75"/>
      <c r="F10" s="66">
        <f>5136*1.25</f>
        <v>6420</v>
      </c>
      <c r="G10" s="67"/>
      <c r="H10" s="19" t="s">
        <v>17</v>
      </c>
    </row>
    <row r="11" spans="1:22" ht="8.1" customHeight="1" x14ac:dyDescent="0.3">
      <c r="A11" s="28"/>
      <c r="B11" s="28"/>
      <c r="C11" s="29"/>
      <c r="D11" s="29"/>
      <c r="E11" s="29"/>
      <c r="F11" s="29"/>
      <c r="G11" s="29"/>
      <c r="H11" s="29"/>
    </row>
    <row r="12" spans="1:22" ht="15" customHeight="1" x14ac:dyDescent="0.3">
      <c r="A12" s="57" t="s">
        <v>2</v>
      </c>
      <c r="B12" s="32"/>
      <c r="C12" s="58" t="s">
        <v>3</v>
      </c>
      <c r="D12" s="59"/>
      <c r="E12" s="57" t="s">
        <v>4</v>
      </c>
      <c r="F12" s="57"/>
      <c r="G12" s="64"/>
      <c r="H12" s="57" t="s">
        <v>5</v>
      </c>
      <c r="L12"/>
      <c r="M12" s="49" t="s">
        <v>22</v>
      </c>
      <c r="N12" s="49"/>
      <c r="O12" s="50"/>
    </row>
    <row r="13" spans="1:22" ht="15" customHeight="1" x14ac:dyDescent="0.3">
      <c r="A13" s="57"/>
      <c r="B13" s="33"/>
      <c r="C13" s="60"/>
      <c r="D13" s="61"/>
      <c r="E13" s="57"/>
      <c r="F13" s="57"/>
      <c r="G13" s="64"/>
      <c r="H13" s="57"/>
      <c r="L13"/>
      <c r="M13" s="36" t="s">
        <v>19</v>
      </c>
      <c r="N13" s="36" t="s">
        <v>20</v>
      </c>
      <c r="O13" s="36" t="s">
        <v>21</v>
      </c>
    </row>
    <row r="14" spans="1:22" ht="15" customHeight="1" x14ac:dyDescent="0.3">
      <c r="A14" s="3">
        <v>15</v>
      </c>
      <c r="B14" s="38"/>
      <c r="C14" s="62">
        <f>E14+H14</f>
        <v>15607.9251</v>
      </c>
      <c r="D14" s="56"/>
      <c r="E14" s="63">
        <f>$F$10</f>
        <v>6420</v>
      </c>
      <c r="F14" s="63"/>
      <c r="G14" s="64"/>
      <c r="H14" s="34">
        <f>A14*$M$14*$D$8+A14*$N$14*$E$8+A14*$O$14*$G$8</f>
        <v>9187.9251000000004</v>
      </c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  <c r="R14" s="24"/>
      <c r="V14" s="35"/>
    </row>
    <row r="15" spans="1:22" ht="15" customHeight="1" x14ac:dyDescent="0.3">
      <c r="A15" s="3">
        <v>20</v>
      </c>
      <c r="B15" s="38"/>
      <c r="C15" s="62">
        <f>E15+H15</f>
        <v>18670.566800000001</v>
      </c>
      <c r="D15" s="56"/>
      <c r="E15" s="63">
        <f>$F$10</f>
        <v>6420</v>
      </c>
      <c r="F15" s="63"/>
      <c r="G15" s="64"/>
      <c r="H15" s="34">
        <f>A15*$M$14*$D$8+A15*$N$14*$E$8+A15*$O$14*$G$8</f>
        <v>12250.566799999999</v>
      </c>
      <c r="K15" s="24"/>
      <c r="R15" s="24"/>
      <c r="V15" s="35"/>
    </row>
    <row r="16" spans="1:22" ht="15" customHeight="1" x14ac:dyDescent="0.3">
      <c r="A16" s="3">
        <v>30</v>
      </c>
      <c r="B16" s="38"/>
      <c r="C16" s="62">
        <f>E16+H16</f>
        <v>24795.850200000001</v>
      </c>
      <c r="D16" s="56"/>
      <c r="E16" s="63">
        <f>$F$10</f>
        <v>6420</v>
      </c>
      <c r="F16" s="63"/>
      <c r="G16" s="64"/>
      <c r="H16" s="34">
        <f>A16*$M$14*$D$8+A16*$N$14*$E$8+A16*$O$14*$G$8</f>
        <v>18375.850200000001</v>
      </c>
      <c r="K16" s="24"/>
      <c r="R16" s="24"/>
      <c r="V16" s="35"/>
    </row>
    <row r="17" spans="1:22" ht="15" customHeight="1" x14ac:dyDescent="0.3">
      <c r="A17" s="3">
        <v>40</v>
      </c>
      <c r="B17" s="38"/>
      <c r="C17" s="62">
        <f>E17+H17</f>
        <v>30921.133599999997</v>
      </c>
      <c r="D17" s="56"/>
      <c r="E17" s="63">
        <f>$F$10</f>
        <v>6420</v>
      </c>
      <c r="F17" s="63"/>
      <c r="G17" s="64"/>
      <c r="H17" s="34">
        <f>A17*$M$14*$D$8+A17*$N$14*$E$8+A17*$O$14*$G$8</f>
        <v>24501.133599999997</v>
      </c>
      <c r="K17" s="24"/>
      <c r="R17" s="24"/>
      <c r="V17" s="35"/>
    </row>
    <row r="18" spans="1:22" ht="8.1" customHeight="1" x14ac:dyDescent="0.3"/>
    <row r="19" spans="1:22" ht="20.100000000000001" customHeight="1" x14ac:dyDescent="0.3">
      <c r="A19" s="53" t="s">
        <v>27</v>
      </c>
      <c r="B19" s="54"/>
      <c r="C19" s="55"/>
      <c r="D19" s="55"/>
      <c r="E19" s="55"/>
      <c r="F19" s="55"/>
      <c r="G19" s="56"/>
      <c r="H19" s="7">
        <v>1900</v>
      </c>
      <c r="M19" s="2" t="s">
        <v>32</v>
      </c>
      <c r="N19" t="s">
        <v>33</v>
      </c>
      <c r="O19" t="s">
        <v>21</v>
      </c>
    </row>
    <row r="20" spans="1:22" ht="15" customHeight="1" x14ac:dyDescent="0.3">
      <c r="A20" s="51" t="s">
        <v>30</v>
      </c>
      <c r="B20" s="51" t="s">
        <v>31</v>
      </c>
      <c r="C20" s="51" t="s">
        <v>2</v>
      </c>
      <c r="D20" s="68" t="s">
        <v>3</v>
      </c>
      <c r="E20" s="69"/>
      <c r="F20" s="52" t="s">
        <v>4</v>
      </c>
      <c r="G20" s="52"/>
      <c r="H20" s="51" t="s">
        <v>5</v>
      </c>
      <c r="L20" s="22" t="s">
        <v>24</v>
      </c>
      <c r="M20" s="23">
        <v>0.88500000000000001</v>
      </c>
      <c r="N20" s="23">
        <v>3.6999999999999998E-2</v>
      </c>
      <c r="O20" s="23">
        <v>7.8E-2</v>
      </c>
    </row>
    <row r="21" spans="1:22" ht="15" customHeight="1" x14ac:dyDescent="0.3">
      <c r="A21" s="51"/>
      <c r="B21" s="51"/>
      <c r="C21" s="51"/>
      <c r="D21" s="70"/>
      <c r="E21" s="71"/>
      <c r="F21" s="16" t="s">
        <v>7</v>
      </c>
      <c r="G21" s="16" t="s">
        <v>8</v>
      </c>
      <c r="H21" s="51"/>
      <c r="L21" s="22" t="s">
        <v>25</v>
      </c>
      <c r="M21" s="23">
        <v>0.88500000000000001</v>
      </c>
      <c r="N21" s="23">
        <v>3.6999999999999998E-2</v>
      </c>
      <c r="O21" s="23">
        <v>7.8E-2</v>
      </c>
    </row>
    <row r="22" spans="1:22" ht="15" customHeight="1" x14ac:dyDescent="0.3">
      <c r="A22" s="4">
        <v>25</v>
      </c>
      <c r="B22" s="4">
        <v>15</v>
      </c>
      <c r="C22" s="3">
        <v>80</v>
      </c>
      <c r="D22" s="62">
        <f>SUM(F22:H22)</f>
        <v>77526.149999999994</v>
      </c>
      <c r="E22" s="65"/>
      <c r="F22" s="34">
        <f>193*1.25</f>
        <v>241.25</v>
      </c>
      <c r="G22" s="34">
        <f>(A22*500+B22*1050)*1.25</f>
        <v>35312.5</v>
      </c>
      <c r="H22" s="34">
        <f>(C22*$M$20*404+C22*$N$20*1200+C22*$O$20*228)*1.25</f>
        <v>41972.399999999994</v>
      </c>
      <c r="J22" s="39"/>
      <c r="L22" s="22" t="s">
        <v>26</v>
      </c>
      <c r="M22" s="23">
        <v>0.88500000000000001</v>
      </c>
      <c r="N22" s="23">
        <v>3.6999999999999998E-2</v>
      </c>
      <c r="O22" s="23">
        <v>7.8E-2</v>
      </c>
      <c r="R22" s="24"/>
      <c r="V22" s="35"/>
    </row>
    <row r="23" spans="1:22" ht="15" customHeight="1" x14ac:dyDescent="0.3">
      <c r="A23" s="4">
        <v>59</v>
      </c>
      <c r="B23" s="4">
        <v>37</v>
      </c>
      <c r="C23" s="3">
        <v>193</v>
      </c>
      <c r="D23" s="62">
        <f t="shared" ref="D23" si="0">SUM(F23:H23)</f>
        <v>186223.41500000001</v>
      </c>
      <c r="E23" s="65"/>
      <c r="F23" s="34">
        <f>1435*1.25</f>
        <v>1793.75</v>
      </c>
      <c r="G23" s="34">
        <f>(A23*500+B23*1001)*1.25</f>
        <v>83171.25</v>
      </c>
      <c r="H23" s="34">
        <f>(C23*$M$20*404+C23*$N$20*1200+C23*$O$20*228)*1.25</f>
        <v>101258.41500000001</v>
      </c>
      <c r="J23" s="39"/>
      <c r="R23" s="24"/>
      <c r="V23" s="35"/>
    </row>
    <row r="24" spans="1:22" ht="15" customHeight="1" x14ac:dyDescent="0.3">
      <c r="A24" s="4">
        <v>152</v>
      </c>
      <c r="B24" s="4">
        <v>100</v>
      </c>
      <c r="C24" s="3">
        <v>500</v>
      </c>
      <c r="D24" s="62">
        <f>SUM(F24:H24)</f>
        <v>482245</v>
      </c>
      <c r="E24" s="65"/>
      <c r="F24" s="34">
        <f>8034*1.25</f>
        <v>10042.5</v>
      </c>
      <c r="G24" s="34">
        <f>(A24*500+B24*919)*1.25</f>
        <v>209875</v>
      </c>
      <c r="H24" s="34">
        <f>(C24*$M$20*404+C24*$N$20*1200+C24*$O$20*228)*1.25</f>
        <v>262327.5</v>
      </c>
      <c r="J24" s="39"/>
      <c r="K24" s="39"/>
      <c r="R24" s="24"/>
      <c r="V24" s="35"/>
    </row>
    <row r="25" spans="1:22" ht="15" customHeight="1" x14ac:dyDescent="0.3">
      <c r="A25" s="4">
        <v>305</v>
      </c>
      <c r="B25" s="4">
        <v>204</v>
      </c>
      <c r="C25" s="3">
        <v>1000</v>
      </c>
      <c r="D25" s="62">
        <f>SUM(F25:H25)</f>
        <v>953336.25</v>
      </c>
      <c r="E25" s="65"/>
      <c r="F25" s="34">
        <f>21941*1.25</f>
        <v>27426.25</v>
      </c>
      <c r="G25" s="34">
        <f>(A25*500+B25*826)*1.25</f>
        <v>401255</v>
      </c>
      <c r="H25" s="34">
        <f>(C25*$M$20*404+C25*$N$20*1200+C25*$O$20*228)*1.25</f>
        <v>524655</v>
      </c>
      <c r="J25" s="39"/>
      <c r="K25" s="24"/>
      <c r="R25" s="24"/>
      <c r="V25" s="35"/>
    </row>
    <row r="26" spans="1:22" ht="8.1" customHeight="1" x14ac:dyDescent="0.3"/>
    <row r="27" spans="1:22" ht="20.100000000000001" customHeight="1" x14ac:dyDescent="0.3">
      <c r="A27" s="53" t="s">
        <v>28</v>
      </c>
      <c r="B27" s="54"/>
      <c r="C27" s="55"/>
      <c r="D27" s="55"/>
      <c r="E27" s="55"/>
      <c r="F27" s="55"/>
      <c r="G27" s="56"/>
      <c r="H27" s="7">
        <v>1700</v>
      </c>
      <c r="L27"/>
      <c r="M27"/>
    </row>
    <row r="28" spans="1:22" ht="15" customHeight="1" x14ac:dyDescent="0.3">
      <c r="A28" s="51" t="s">
        <v>1</v>
      </c>
      <c r="B28" s="51" t="s">
        <v>31</v>
      </c>
      <c r="C28" s="51" t="s">
        <v>2</v>
      </c>
      <c r="D28" s="68" t="s">
        <v>3</v>
      </c>
      <c r="E28" s="69"/>
      <c r="F28" s="52" t="s">
        <v>4</v>
      </c>
      <c r="G28" s="52"/>
      <c r="H28" s="51" t="s">
        <v>5</v>
      </c>
      <c r="L28"/>
      <c r="M28"/>
    </row>
    <row r="29" spans="1:22" ht="15" customHeight="1" x14ac:dyDescent="0.3">
      <c r="A29" s="51"/>
      <c r="B29" s="51"/>
      <c r="C29" s="51"/>
      <c r="D29" s="70"/>
      <c r="E29" s="71"/>
      <c r="F29" s="16" t="s">
        <v>7</v>
      </c>
      <c r="G29" s="16" t="s">
        <v>8</v>
      </c>
      <c r="H29" s="51"/>
      <c r="L29"/>
      <c r="M29"/>
    </row>
    <row r="30" spans="1:22" ht="15" customHeight="1" x14ac:dyDescent="0.3">
      <c r="A30" s="4">
        <v>25</v>
      </c>
      <c r="B30" s="4">
        <v>15</v>
      </c>
      <c r="C30" s="3">
        <v>80</v>
      </c>
      <c r="D30" s="62">
        <f>SUM(F30:H30)</f>
        <v>77526.149999999994</v>
      </c>
      <c r="E30" s="65"/>
      <c r="F30" s="34">
        <f>193*1.25</f>
        <v>241.25</v>
      </c>
      <c r="G30" s="34">
        <f>(A30*500+B30*1050)*1.25</f>
        <v>35312.5</v>
      </c>
      <c r="H30" s="34">
        <f>(C30*$M$20*404+C30*$N$20*1200+C30*$O$20*228)*1.25</f>
        <v>41972.399999999994</v>
      </c>
      <c r="J30" s="39"/>
      <c r="K30" s="24"/>
      <c r="L30"/>
      <c r="M30"/>
      <c r="R30" s="24"/>
      <c r="V30" s="35"/>
    </row>
    <row r="31" spans="1:22" ht="15" customHeight="1" x14ac:dyDescent="0.3">
      <c r="A31" s="4">
        <v>59</v>
      </c>
      <c r="B31" s="4">
        <v>37</v>
      </c>
      <c r="C31" s="3">
        <v>193</v>
      </c>
      <c r="D31" s="62">
        <f t="shared" ref="D31" si="1">SUM(F31:H31)</f>
        <v>186223.41500000001</v>
      </c>
      <c r="E31" s="65"/>
      <c r="F31" s="34">
        <f>1435*1.25</f>
        <v>1793.75</v>
      </c>
      <c r="G31" s="34">
        <f>(A31*500+B31*1001)*1.25</f>
        <v>83171.25</v>
      </c>
      <c r="H31" s="34">
        <f>(C31*$M$20*404+C31*$N$20*1200+C31*$O$20*228)*1.25</f>
        <v>101258.41500000001</v>
      </c>
      <c r="J31" s="39"/>
      <c r="K31" s="24"/>
      <c r="L31"/>
      <c r="M31"/>
      <c r="R31" s="24"/>
      <c r="V31" s="35"/>
    </row>
    <row r="32" spans="1:22" ht="15" customHeight="1" x14ac:dyDescent="0.3">
      <c r="A32" s="4">
        <v>152</v>
      </c>
      <c r="B32" s="4">
        <v>100</v>
      </c>
      <c r="C32" s="3">
        <v>500</v>
      </c>
      <c r="D32" s="62">
        <f>SUM(F32:H32)</f>
        <v>482245</v>
      </c>
      <c r="E32" s="65"/>
      <c r="F32" s="34">
        <f>8034*1.25</f>
        <v>10042.5</v>
      </c>
      <c r="G32" s="34">
        <f>(A32*500+B32*919)*1.25</f>
        <v>209875</v>
      </c>
      <c r="H32" s="34">
        <f>(C32*$M$20*404+C32*$N$20*1200+C32*$O$20*228)*1.25</f>
        <v>262327.5</v>
      </c>
      <c r="J32" s="39"/>
      <c r="K32" s="24"/>
      <c r="L32"/>
      <c r="M32"/>
      <c r="R32" s="24"/>
      <c r="V32" s="35"/>
    </row>
    <row r="33" spans="1:22" ht="15" customHeight="1" x14ac:dyDescent="0.3">
      <c r="A33" s="4">
        <v>305</v>
      </c>
      <c r="B33" s="4">
        <v>204</v>
      </c>
      <c r="C33" s="3">
        <v>1000</v>
      </c>
      <c r="D33" s="62">
        <f>SUM(F33:H33)</f>
        <v>953336.25</v>
      </c>
      <c r="E33" s="65"/>
      <c r="F33" s="34">
        <f>21941*1.25</f>
        <v>27426.25</v>
      </c>
      <c r="G33" s="34">
        <f>(A33*500+B33*826)*1.25</f>
        <v>401255</v>
      </c>
      <c r="H33" s="34">
        <f>(C33*$M$20*404+C33*$N$20*1200+C33*$O$20*228)*1.25</f>
        <v>524655</v>
      </c>
      <c r="J33" s="39"/>
      <c r="K33" s="24"/>
      <c r="L33"/>
      <c r="M33"/>
      <c r="R33" s="24"/>
      <c r="V33" s="35"/>
    </row>
    <row r="34" spans="1:22" ht="8.1" customHeight="1" x14ac:dyDescent="0.3">
      <c r="L34"/>
      <c r="M34"/>
    </row>
  </sheetData>
  <mergeCells count="42">
    <mergeCell ref="H28:H29"/>
    <mergeCell ref="D30:E30"/>
    <mergeCell ref="D31:E31"/>
    <mergeCell ref="D32:E32"/>
    <mergeCell ref="D33:E33"/>
    <mergeCell ref="A27:G27"/>
    <mergeCell ref="A28:A29"/>
    <mergeCell ref="B28:B29"/>
    <mergeCell ref="C28:C29"/>
    <mergeCell ref="D28:E29"/>
    <mergeCell ref="F28:G28"/>
    <mergeCell ref="H20:H21"/>
    <mergeCell ref="D22:E22"/>
    <mergeCell ref="D23:E23"/>
    <mergeCell ref="D24:E24"/>
    <mergeCell ref="D25:E25"/>
    <mergeCell ref="E16:G16"/>
    <mergeCell ref="C17:D17"/>
    <mergeCell ref="E17:G17"/>
    <mergeCell ref="A19:G19"/>
    <mergeCell ref="A20:A21"/>
    <mergeCell ref="B20:B21"/>
    <mergeCell ref="C20:C21"/>
    <mergeCell ref="D20:E21"/>
    <mergeCell ref="F20:G20"/>
    <mergeCell ref="C16:D16"/>
    <mergeCell ref="C14:D14"/>
    <mergeCell ref="C15:D15"/>
    <mergeCell ref="A12:A13"/>
    <mergeCell ref="C12:D13"/>
    <mergeCell ref="E12:G13"/>
    <mergeCell ref="E14:G14"/>
    <mergeCell ref="E15:G15"/>
    <mergeCell ref="A10:E10"/>
    <mergeCell ref="F10:G10"/>
    <mergeCell ref="H12:H13"/>
    <mergeCell ref="M12:O12"/>
    <mergeCell ref="A1:H1"/>
    <mergeCell ref="A3:H3"/>
    <mergeCell ref="A5:H5"/>
    <mergeCell ref="E7:F7"/>
    <mergeCell ref="E8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haredContentType xmlns="Microsoft.SharePoint.Taxonomy.ContentTypeSync" SourceId="7bc4ddca-2037-4244-a1d9-3d112b7e0924" ContentTypeId="0x010100FDA52B727EFB0541B43197FEEE86ECD2" PreviousValue="false"/>
</file>

<file path=customXml/item2.xml><?xml version="1.0" encoding="utf-8"?>
<?mso-contentType ?>
<spe:Receivers xmlns:spe="http://schemas.microsoft.com/sharepoint/events">
  <Receiver>
    <Name>ME.DocumentManagement.Services.EventReceivers.BasDokumentReceiver</Name>
    <Synchronization>Synchronous</Synchronization>
    <Type>10002</Type>
    <SequenceNumber>10000</SequenceNumber>
    <Url/>
    <Assembly>ME.DocumentManagement.Services, Version=1.0.0.0, Culture=neutral, PublicKeyToken=0667f89d726bd658</Assembly>
    <Class>ME.DocumentManagement.Services.EventReceivers.BasDokumentReceiver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Basdokument ME</p:Name>
  <p:Description/>
  <p:Statement/>
  <p:PolicyItems>
    <p:PolicyItem featureId="Microsoft.Office.RecordsManagement.PolicyFeatures.Expiration" staticId="0x010100FDA52B727EFB0541B43197FEEE86ECD2|1511135587" UniqueId="bace0659-8aa5-4133-b34e-b0412eb29a27">
      <p:Name>Bevarande</p:Name>
      <p:Description>Automatisk schemaläggning av innehåll som ska bearbetas, och utföra en bevarandeåtgärd på innehåll som har nått sitt förfallodatum.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Gallringsdatum</property>
                  <propertyId>529d6af7-9946-44b4-be70-bfe9f40cc597</propertyId>
                  <period>days</period>
                </formula>
                <action type="action" id="Microsoft.Office.RecordsManagement.PolicyFeatures.Expiration.Action.SubmitFileMove" destnExplanation="Överförd på grund av organisationsprincip" destnId="76bcfa36-f7ee-468c-81d4-71b183608651" destnName="Dokumentarkiv" destnUrl="http://jupiter.ad.malarenergi.se/dokumentarkiv/_vti_bin/officialfile.asmx"/>
              </data>
            </stages>
          </Schedule>
        </Schedules>
      </p:CustomData>
    </p:PolicyItem>
  </p:PolicyItems>
</p:Polic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kretess xmlns="ac33cdb8-10df-4793-a562-c5f3a022202a">Nej</Sekretess>
    <Diarienummer xmlns="ac33cdb8-10df-4793-a562-c5f3a022202a" xsi:nil="true"/>
    <b9024449b707427d88cc739cbdf0df33 xmlns="ac33cdb8-10df-4793-a562-c5f3a022202a">
      <Terms xmlns="http://schemas.microsoft.com/office/infopath/2007/PartnerControls"/>
    </b9024449b707427d88cc739cbdf0df33>
    <Sekretessdatum xmlns="ac33cdb8-10df-4793-a562-c5f3a022202a" xsi:nil="true"/>
    <pf2437bea9f74492892ef17f948b3cb2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Värme Energimarknad</TermName>
          <TermId xmlns="http://schemas.microsoft.com/office/infopath/2007/PartnerControls">88164c3c-e3b0-4596-859a-146ff47b1cbd</TermId>
        </TermInfo>
      </Terms>
    </pf2437bea9f74492892ef17f948b3cb2>
    <Gallra xmlns="ac33cdb8-10df-4793-a562-c5f3a022202a">Nej</Gallra>
    <m3aaa5a4ff4f406e80222553f4d9c41a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AAB Innehållsförteckningar, dokumentlistor, register</TermName>
          <TermId xmlns="http://schemas.microsoft.com/office/infopath/2007/PartnerControls">06356955-c557-4a37-86c4-217e74198795</TermId>
        </TermInfo>
      </Terms>
    </m3aaa5a4ff4f406e80222553f4d9c41a>
    <n3af11635f86435da3b2886c3aacfd09 xmlns="ac33cdb8-10df-4793-a562-c5f3a022202a">
      <Terms xmlns="http://schemas.microsoft.com/office/infopath/2007/PartnerControls"/>
    </n3af11635f86435da3b2886c3aacfd09>
    <Ägare xmlns="ac33cdb8-10df-4793-a562-c5f3a022202a">
      <UserInfo>
        <DisplayName>Erixzon Claes</DisplayName>
        <AccountId>287</AccountId>
        <AccountType/>
      </UserInfo>
    </Ägare>
    <Gallringstid_x0020__x0028_år_x0029_ xmlns="ac33cdb8-10df-4793-a562-c5f3a022202a" xsi:nil="true"/>
    <TaxCatchAll xmlns="ac33cdb8-10df-4793-a562-c5f3a022202a">
      <Value>751</Value>
      <Value>148</Value>
      <Value>2</Value>
      <Value>1</Value>
      <Value>798</Value>
    </TaxCatchAll>
    <n6f869e107304887b968c67f78022871 xmlns="ac33cdb8-10df-4793-a562-c5f3a022202a">
      <Terms xmlns="http://schemas.microsoft.com/office/infopath/2007/PartnerControls"/>
    </n6f869e107304887b968c67f78022871>
    <b53dcfa1ba604e92b83cb36ba08e3245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Listor (AAB) (Över dokumentation)</TermName>
          <TermId xmlns="http://schemas.microsoft.com/office/infopath/2007/PartnerControls">eff0eab7-127f-4909-96f7-69892d496584</TermId>
        </TermInfo>
      </Terms>
    </b53dcfa1ba604e92b83cb36ba08e3245>
    <Gallringsdatum xmlns="ac33cdb8-10df-4793-a562-c5f3a022202a" xsi:nil="true"/>
    <p080ab29933845c497a993f1f7dcb552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Mälarenergi AB</TermName>
          <TermId xmlns="http://schemas.microsoft.com/office/infopath/2007/PartnerControls">a7b8f5a3-b236-4c9a-ae6f-76274e0825b9</TermId>
        </TermInfo>
      </Terms>
    </p080ab29933845c497a993f1f7dcb552>
    <k12ce6319c9349758f0986f5ba87e3e0 xmlns="ac33cdb8-10df-4793-a562-c5f3a022202a">
      <Terms xmlns="http://schemas.microsoft.com/office/infopath/2007/PartnerControls"/>
    </k12ce6319c9349758f0986f5ba87e3e0>
    <TempAgare xmlns="ac33cdb8-10df-4793-a562-c5f3a022202a">Erixzon Claes</TempAgare>
    <_dlc_DocId xmlns="ac33cdb8-10df-4793-a562-c5f3a022202a">VARME-67-817</_dlc_DocId>
    <_dlc_DocIdUrl xmlns="ac33cdb8-10df-4793-a562-c5f3a022202a">
      <Url>https://mars.malarenergi.se/varme/energimarknad/_layouts/15/DocIdRedir.aspx?ID=VARME-67-817</Url>
      <Description>VARME-67-817</Description>
    </_dlc_DocIdUrl>
    <m16fd4df5c7e438fb0b588e4cbc7128b xmlns="ac33cdb8-10df-4793-a562-c5f3a022202a">
      <Terms xmlns="http://schemas.microsoft.com/office/infopath/2007/PartnerControls"/>
    </m16fd4df5c7e438fb0b588e4cbc7128b>
    <kb6f6ca427ec4114a762d277d734b1d3 xmlns="ac33cdb8-10df-4793-a562-c5f3a022202a">
      <Terms xmlns="http://schemas.microsoft.com/office/infopath/2007/PartnerControls"/>
    </kb6f6ca427ec4114a762d277d734b1d3>
    <_dlc_ExpireDateSaved xmlns="http://schemas.microsoft.com/sharepoint/v3" xsi:nil="true"/>
    <_dlc_Exempt xmlns="http://schemas.microsoft.com/sharepoint/v3" xsi:nil="true"/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Basdokument ME" ma:contentTypeID="0x010100FDA52B727EFB0541B43197FEEE86ECD200F636AE73460E10438194302518FF3468" ma:contentTypeVersion="217" ma:contentTypeDescription="Skapa ett nytt dokument." ma:contentTypeScope="" ma:versionID="bc3d817b8e15e8f51a16d40bb62c43ab">
  <xsd:schema xmlns:xsd="http://www.w3.org/2001/XMLSchema" xmlns:xs="http://www.w3.org/2001/XMLSchema" xmlns:p="http://schemas.microsoft.com/office/2006/metadata/properties" xmlns:ns1="ac33cdb8-10df-4793-a562-c5f3a022202a" xmlns:ns2="http://schemas.microsoft.com/sharepoint/v3" targetNamespace="http://schemas.microsoft.com/office/2006/metadata/properties" ma:root="true" ma:fieldsID="3617c561b60f21e0e9f54976594e6c4f" ns1:_="" ns2:_="">
    <xsd:import namespace="ac33cdb8-10df-4793-a562-c5f3a022202a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Ägare"/>
                <xsd:element ref="ns1:Sekretess"/>
                <xsd:element ref="ns1:Sekretessdatum" minOccurs="0"/>
                <xsd:element ref="ns1:Diarienummer" minOccurs="0"/>
                <xsd:element ref="ns1:Gallringsdatum" minOccurs="0"/>
                <xsd:element ref="ns1:Gallra" minOccurs="0"/>
                <xsd:element ref="ns1:TaxCatchAll" minOccurs="0"/>
                <xsd:element ref="ns1:TaxCatchAllLabel" minOccurs="0"/>
                <xsd:element ref="ns1:b9024449b707427d88cc739cbdf0df33" minOccurs="0"/>
                <xsd:element ref="ns1:pf2437bea9f74492892ef17f948b3cb2" minOccurs="0"/>
                <xsd:element ref="ns1:m3aaa5a4ff4f406e80222553f4d9c41a" minOccurs="0"/>
                <xsd:element ref="ns1:p080ab29933845c497a993f1f7dcb552" minOccurs="0"/>
                <xsd:element ref="ns1:n3af11635f86435da3b2886c3aacfd09" minOccurs="0"/>
                <xsd:element ref="ns1:_dlc_DocId" minOccurs="0"/>
                <xsd:element ref="ns1:b53dcfa1ba604e92b83cb36ba08e3245" minOccurs="0"/>
                <xsd:element ref="ns1:_dlc_DocIdUrl" minOccurs="0"/>
                <xsd:element ref="ns1:_dlc_DocIdPersistId" minOccurs="0"/>
                <xsd:element ref="ns1:k12ce6319c9349758f0986f5ba87e3e0" minOccurs="0"/>
                <xsd:element ref="ns1:Gallringstid_x0020__x0028_år_x0029_" minOccurs="0"/>
                <xsd:element ref="ns1:n6f869e107304887b968c67f78022871" minOccurs="0"/>
                <xsd:element ref="ns2:_dlc_Exempt" minOccurs="0"/>
                <xsd:element ref="ns2:_dlc_ExpireDateSaved" minOccurs="0"/>
                <xsd:element ref="ns2:_dlc_ExpireDate" minOccurs="0"/>
                <xsd:element ref="ns1:TempAgare" minOccurs="0"/>
                <xsd:element ref="ns1:kb6f6ca427ec4114a762d277d734b1d3" minOccurs="0"/>
                <xsd:element ref="ns1:m16fd4df5c7e438fb0b588e4cbc7128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cdb8-10df-4793-a562-c5f3a022202a" elementFormDefault="qualified">
    <xsd:import namespace="http://schemas.microsoft.com/office/2006/documentManagement/types"/>
    <xsd:import namespace="http://schemas.microsoft.com/office/infopath/2007/PartnerControls"/>
    <xsd:element name="Ägare" ma:index="6" ma:displayName="Dokumentägare" ma:description="Den person som är ansvarig för dokumentet och dess innehåll." ma:list="UserInfo" ma:SharePointGroup="0" ma:internalName="_x00c4_ga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kretess" ma:index="7" ma:displayName="Sekretess" ma:default="Nej" ma:format="RadioButtons" ma:internalName="Sekretess" ma:readOnly="false">
      <xsd:simpleType>
        <xsd:restriction base="dms:Choice">
          <xsd:enumeration value="Ja"/>
          <xsd:enumeration value="Nej"/>
        </xsd:restriction>
      </xsd:simpleType>
    </xsd:element>
    <xsd:element name="Sekretessdatum" ma:index="8" nillable="true" ma:displayName="Sekretessdatum" ma:format="DateOnly" ma:internalName="Sekretessdatum">
      <xsd:simpleType>
        <xsd:restriction base="dms:DateTime"/>
      </xsd:simpleType>
    </xsd:element>
    <xsd:element name="Diarienummer" ma:index="10" nillable="true" ma:displayName="Diarienummer" ma:internalName="Diarienummer">
      <xsd:simpleType>
        <xsd:restriction base="dms:Text">
          <xsd:maxLength value="255"/>
        </xsd:restriction>
      </xsd:simpleType>
    </xsd:element>
    <xsd:element name="Gallringsdatum" ma:index="14" nillable="true" ma:displayName="Gallringsdatum" ma:format="DateOnly" ma:internalName="Gallringsdatum" ma:readOnly="false">
      <xsd:simpleType>
        <xsd:restriction base="dms:DateTime"/>
      </xsd:simpleType>
    </xsd:element>
    <xsd:element name="Gallra" ma:index="15" nillable="true" ma:displayName="Gallra" ma:default="Nej" ma:description="Anger om dokumenttypen skall gallras/rensas eller arkiveras." ma:format="Dropdown" ma:internalName="Gallra" ma:readOnly="false">
      <xsd:simpleType>
        <xsd:restriction base="dms:Choice">
          <xsd:enumeration value="Ja"/>
          <xsd:enumeration value="Nej"/>
        </xsd:restriction>
      </xsd:simpleType>
    </xsd:element>
    <xsd:element name="TaxCatchAll" ma:index="16" nillable="true" ma:displayName="Taxonomy Catch All Column" ma:hidden="true" ma:list="{89ad9677-e615-4edd-ab4e-8b39f757b8be}" ma:internalName="TaxCatchAll" ma:readOnly="false" ma:showField="CatchAllData" ma:web="0954de66-da77-4c0e-a7fb-02a9d096f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9ad9677-e615-4edd-ab4e-8b39f757b8be}" ma:internalName="TaxCatchAllLabel" ma:readOnly="true" ma:showField="CatchAllDataLabel" ma:web="0954de66-da77-4c0e-a7fb-02a9d096f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024449b707427d88cc739cbdf0df33" ma:index="18" nillable="true" ma:taxonomy="true" ma:internalName="b9024449b707427d88cc739cbdf0df33" ma:taxonomyFieldName="Lagrum" ma:displayName="Lagrum" ma:readOnly="false" ma:default="" ma:fieldId="{b9024449-b707-427d-88cc-739cbdf0df33}" ma:taxonomyMulti="true" ma:sspId="7bc4ddca-2037-4244-a1d9-3d112b7e0924" ma:termSetId="db46d522-7607-40df-b2af-b6d432fa0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437bea9f74492892ef17f948b3cb2" ma:index="19" ma:taxonomy="true" ma:internalName="pf2437bea9f74492892ef17f948b3cb2" ma:taxonomyFieldName="Avdelningsnamn" ma:displayName="Avdelningsnamn" ma:readOnly="false" ma:default="" ma:fieldId="{9f2437be-a9f7-4492-892e-f17f948b3cb2}" ma:sspId="7bc4ddca-2037-4244-a1d9-3d112b7e0924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aaa5a4ff4f406e80222553f4d9c41a" ma:index="20" nillable="true" ma:taxonomy="true" ma:internalName="m3aaa5a4ff4f406e80222553f4d9c41a" ma:taxonomyFieldName="DCC_x002d_kod" ma:displayName="Dokumentslag" ma:readOnly="false" ma:default="" ma:fieldId="{63aaa5a4-ff4f-406e-8022-2553f4d9c41a}" ma:sspId="7bc4ddca-2037-4244-a1d9-3d112b7e0924" ma:termSetId="783e0965-0bf9-4499-a908-344db5d550b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080ab29933845c497a993f1f7dcb552" ma:index="23" nillable="true" ma:taxonomy="true" ma:internalName="p080ab29933845c497a993f1f7dcb552" ma:taxonomyFieldName="Bolag" ma:displayName="Bolag" ma:readOnly="false" ma:fieldId="{9080ab29-9338-45c4-97a9-93f1f7dcb552}" ma:sspId="7bc4ddca-2037-4244-a1d9-3d112b7e0924" ma:termSetId="73f04708-f0bb-4832-ba3b-9c855055187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3af11635f86435da3b2886c3aacfd09" ma:index="25" nillable="true" ma:taxonomy="true" ma:internalName="n3af11635f86435da3b2886c3aacfd09" ma:taxonomyFieldName="Process" ma:displayName="Process" ma:readOnly="false" ma:default="" ma:fieldId="{73af1163-5f86-435d-a3b2-886c3aacfd09}" ma:taxonomyMulti="true" ma:sspId="7bc4ddca-2037-4244-a1d9-3d112b7e0924" ma:termSetId="875118ea-9ebd-4387-b059-ca8aeb21a2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b53dcfa1ba604e92b83cb36ba08e3245" ma:index="27" nillable="true" ma:taxonomy="true" ma:internalName="b53dcfa1ba604e92b83cb36ba08e3245" ma:taxonomyFieldName="Dokumenttyp" ma:displayName="Dokumenttyp" ma:indexed="true" ma:readOnly="false" ma:default="" ma:fieldId="{b53dcfa1-ba60-4e92-b83c-b36ba08e3245}" ma:sspId="7bc4ddca-2037-4244-a1d9-3d112b7e0924" ma:termSetId="526fe713-1009-48e9-a95b-dc09699fe5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Url" ma:index="29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12ce6319c9349758f0986f5ba87e3e0" ma:index="32" nillable="true" ma:taxonomy="true" ma:internalName="k12ce6319c9349758f0986f5ba87e3e0" ma:taxonomyFieldName="SIS_x002d_standard" ma:displayName="Standard" ma:readOnly="false" ma:default="" ma:fieldId="{412ce631-9c93-4975-8f09-86f5ba87e3e0}" ma:taxonomyMulti="true" ma:sspId="7bc4ddca-2037-4244-a1d9-3d112b7e0924" ma:termSetId="fca2aa1e-c45e-4345-8710-2c37563131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llringstid_x0020__x0028_år_x0029_" ma:index="33" nillable="true" ma:displayName="Gallringstid (år)" ma:description="Anger antal år som dokumentet skall lagras innan det rensas och tas bort." ma:format="Dropdown" ma:hidden="true" ma:internalName="Gallringstid_x0020__x0028__x00e5_r_x0029_" ma:readOnly="false">
      <xsd:simpleType>
        <xsd:restriction base="dms:Choice">
          <xsd:enumeration value="3"/>
          <xsd:enumeration value="10"/>
        </xsd:restriction>
      </xsd:simpleType>
    </xsd:element>
    <xsd:element name="n6f869e107304887b968c67f78022871" ma:index="34" nillable="true" ma:taxonomy="true" ma:internalName="n6f869e107304887b968c67f78022871" ma:taxonomyFieldName="Egna_x0020_ME_x0020_f_x00e4_lt" ma:displayName="Egna ME fält" ma:readOnly="false" ma:default="" ma:fieldId="{76f869e1-0730-4887-b968-c67f78022871}" ma:taxonomyMulti="true" ma:sspId="7bc4ddca-2037-4244-a1d9-3d112b7e0924" ma:termSetId="295230cf-9625-4c87-85ca-53a9f299f5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empAgare" ma:index="39" nillable="true" ma:displayName="TempAgare" ma:hidden="true" ma:internalName="TempAgare" ma:readOnly="false">
      <xsd:simpleType>
        <xsd:restriction base="dms:Text">
          <xsd:maxLength value="255"/>
        </xsd:restriction>
      </xsd:simpleType>
    </xsd:element>
    <xsd:element name="kb6f6ca427ec4114a762d277d734b1d3" ma:index="40" nillable="true" ma:taxonomy="true" ma:internalName="kb6f6ca427ec4114a762d277d734b1d3" ma:taxonomyFieldName="Funktion" ma:displayName="Funktion" ma:readOnly="false" ma:fieldId="{4b6f6ca4-27ec-4114-a762-d277d734b1d3}" ma:taxonomyMulti="true" ma:sspId="7bc4ddca-2037-4244-a1d9-3d112b7e0924" ma:termSetId="f4ccf31a-fb18-46c2-9b43-1865fb3b25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6fd4df5c7e438fb0b588e4cbc7128b" ma:index="42" nillable="true" ma:taxonomy="true" ma:internalName="m16fd4df5c7e438fb0b588e4cbc7128b" ma:taxonomyFieldName="Handbok" ma:displayName="Handbok" ma:readOnly="false" ma:default="" ma:fieldId="{616fd4df-5c7e-438f-b0b5-88e4cbc7128b}" ma:taxonomyMulti="true" ma:sspId="7bc4ddca-2037-4244-a1d9-3d112b7e0924" ma:termSetId="0bbe1e3d-f738-4174-abd2-44d25b1b461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36" nillable="true" ma:displayName="Undanta från princip" ma:hidden="true" ma:internalName="_dlc_Exempt" ma:readOnly="false">
      <xsd:simpleType>
        <xsd:restriction base="dms:Unknown"/>
      </xsd:simpleType>
    </xsd:element>
    <xsd:element name="_dlc_ExpireDateSaved" ma:index="37" nillable="true" ma:displayName="Originalförfallodag" ma:hidden="true" ma:internalName="_dlc_ExpireDateSaved" ma:readOnly="false">
      <xsd:simpleType>
        <xsd:restriction base="dms:DateTime"/>
      </xsd:simpleType>
    </xsd:element>
    <xsd:element name="_dlc_ExpireDate" ma:index="38" nillable="true" ma:displayName="Förfallodatum" ma:description="" ma:hidden="true" ma:indexed="true" ma:internalName="_dlc_ExpireDat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Innehållstyp"/>
        <xsd:element ref="dc:title" maxOccurs="1" ma:index="3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?mso-contentType ?>
<customXsn xmlns="http://schemas.microsoft.com/office/2006/metadata/customXsn">
  <xsnLocation>http://mars.malarenergi.se/_cts/Basdokument ME/93f5520d5516b408customXsn.xsn</xsnLocation>
  <cached>False</cached>
  <openByDefault>True</openByDefault>
  <xsnScope>http://mars.malarenergi.se</xsnScope>
</customXsn>
</file>

<file path=customXml/itemProps1.xml><?xml version="1.0" encoding="utf-8"?>
<ds:datastoreItem xmlns:ds="http://schemas.openxmlformats.org/officeDocument/2006/customXml" ds:itemID="{799D5E81-F14C-48C8-9B0A-C14B05D04A3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0DE79CD-96B1-4D3E-B30E-176154BA6F2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BCC9420-6D4E-4BE9-A054-3553ECD837E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A8AB63-A52C-4449-BC95-314F90312F6E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673D6528-8AB5-4603-A9D1-4BD61B242A90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sharepoint/v3"/>
    <ds:schemaRef ds:uri="ac33cdb8-10df-4793-a562-c5f3a022202a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3EEBB2D7-4BD2-4471-8A09-7FB5DFACD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3cdb8-10df-4793-a562-c5f3a022202a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3BA9899F-FCDE-4CDE-AA24-206F2417631D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Västerås</vt:lpstr>
      <vt:lpstr>Hallstahammar</vt:lpstr>
      <vt:lpstr>Kungsör</vt:lpstr>
      <vt:lpstr>Surahammar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Teknik och Administration</dc:title>
  <dc:creator>Erixzon Claes</dc:creator>
  <cp:lastModifiedBy>Hermansson Per Arne</cp:lastModifiedBy>
  <cp:lastPrinted>2013-02-21T12:53:35Z</cp:lastPrinted>
  <dcterms:created xsi:type="dcterms:W3CDTF">2011-12-15T06:57:39Z</dcterms:created>
  <dcterms:modified xsi:type="dcterms:W3CDTF">2021-10-22T12:47:36Z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0x010100FDA52B727EFB0541B43197FEEE86ECD200F636AE73460E10438194302518FF3468</vt:lpwstr>
  </property>
  <property fmtid="{D5CDD505-2E9C-101B-9397-08002B2CF9AE}" pid="3" name="g043a1868a404b8f8f15a24f2722dfcc">
    <vt:lpwstr>Mälarenergi AB|a7b8f5a3-b236-4c9a-ae6f-76274e0825b9</vt:lpwstr>
  </property>
  <property fmtid="{D5CDD505-2E9C-101B-9397-08002B2CF9AE}" pid="4" name="i903d9bfcec6494ab4bcb54dda7b9384">
    <vt:lpwstr>Stadsarkivet|80b16482-3934-42b3-a81d-d29e647940cb</vt:lpwstr>
  </property>
  <property fmtid="{D5CDD505-2E9C-101B-9397-08002B2CF9AE}" pid="5" name="_dlc_policyId">
    <vt:lpwstr>0x010100FDA52B727EFB0541B43197FEEE86ECD2|1511135587</vt:lpwstr>
  </property>
  <property fmtid="{D5CDD505-2E9C-101B-9397-08002B2CF9AE}" pid="6" name="ItemRetentionFormula">
    <vt:lpwstr>&lt;formula id="Microsoft.Office.RecordsManagement.PolicyFeatures.Expiration.Formula.BuiltIn"&gt;&lt;number&gt;0&lt;/number&gt;&lt;property&gt;Gallringsdatum&lt;/property&gt;&lt;propertyId&gt;529d6af7-9946-44b4-be70-bfe9f40cc597&lt;/propertyId&gt;&lt;period&gt;days&lt;/period&gt;&lt;/formula&gt;</vt:lpwstr>
  </property>
  <property fmtid="{D5CDD505-2E9C-101B-9397-08002B2CF9AE}" pid="7" name="_dlc_DocIdItemGuid">
    <vt:lpwstr>7701361b-1507-4223-97a0-5d25e69ee71d</vt:lpwstr>
  </property>
  <property fmtid="{D5CDD505-2E9C-101B-9397-08002B2CF9AE}" pid="8" name="Bolag">
    <vt:lpwstr>2;#Mälarenergi AB|a7b8f5a3-b236-4c9a-ae6f-76274e0825b9</vt:lpwstr>
  </property>
  <property fmtid="{D5CDD505-2E9C-101B-9397-08002B2CF9AE}" pid="9" name="Lagrum">
    <vt:lpwstr/>
  </property>
  <property fmtid="{D5CDD505-2E9C-101B-9397-08002B2CF9AE}" pid="10" name="Organisation">
    <vt:lpwstr>2;#Mälarenergi AB|a7b8f5a3-b236-4c9a-ae6f-76274e0825b9</vt:lpwstr>
  </property>
  <property fmtid="{D5CDD505-2E9C-101B-9397-08002B2CF9AE}" pid="11" name="Dokumenttyp">
    <vt:lpwstr>751;#Listor (AAB) (Över dokumentation)|eff0eab7-127f-4909-96f7-69892d496584</vt:lpwstr>
  </property>
  <property fmtid="{D5CDD505-2E9C-101B-9397-08002B2CF9AE}" pid="12" name="Egna ME fält">
    <vt:lpwstr/>
  </property>
  <property fmtid="{D5CDD505-2E9C-101B-9397-08002B2CF9AE}" pid="13" name="Gallring">
    <vt:lpwstr>1;#Stadsarkivet|80b16482-3934-42b3-a81d-d29e647940cb</vt:lpwstr>
  </property>
  <property fmtid="{D5CDD505-2E9C-101B-9397-08002B2CF9AE}" pid="14" name="Process">
    <vt:lpwstr/>
  </property>
  <property fmtid="{D5CDD505-2E9C-101B-9397-08002B2CF9AE}" pid="15" name="SIS_x002d_standard">
    <vt:lpwstr/>
  </property>
  <property fmtid="{D5CDD505-2E9C-101B-9397-08002B2CF9AE}" pid="16" name="Avdelningsnamn">
    <vt:lpwstr>798;#Värme Energimarknad|88164c3c-e3b0-4596-859a-146ff47b1cbd</vt:lpwstr>
  </property>
  <property fmtid="{D5CDD505-2E9C-101B-9397-08002B2CF9AE}" pid="17" name="DCC-kod">
    <vt:lpwstr>148;#AAB Innehållsförteckningar, dokumentlistor, register|06356955-c557-4a37-86c4-217e74198795</vt:lpwstr>
  </property>
  <property fmtid="{D5CDD505-2E9C-101B-9397-08002B2CF9AE}" pid="18" name="SIS-standard">
    <vt:lpwstr/>
  </property>
  <property fmtid="{D5CDD505-2E9C-101B-9397-08002B2CF9AE}" pid="19" name="Handbok">
    <vt:lpwstr/>
  </property>
  <property fmtid="{D5CDD505-2E9C-101B-9397-08002B2CF9AE}" pid="20" name="Funktion">
    <vt:lpwstr/>
  </property>
</Properties>
</file>